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mackenziecasey/Desktop/ACCT Notes/ACCT 340/"/>
    </mc:Choice>
  </mc:AlternateContent>
  <xr:revisionPtr revIDLastSave="0" documentId="13_ncr:1_{176CCE4D-CA4A-B548-85C3-7F398B19E6DE}" xr6:coauthVersionLast="47" xr6:coauthVersionMax="47" xr10:uidLastSave="{00000000-0000-0000-0000-000000000000}"/>
  <bookViews>
    <workbookView xWindow="0" yWindow="0" windowWidth="28800" windowHeight="18000" xr2:uid="{00000000-000D-0000-FFFF-FFFF00000000}"/>
  </bookViews>
  <sheets>
    <sheet name="Original Assumptions" sheetId="3" r:id="rId1"/>
    <sheet name="Advising client" sheetId="11" r:id="rId2"/>
    <sheet name="Supplier Cost Increase" sheetId="14" r:id="rId3"/>
    <sheet name="New Sales Mix" sheetId="15" r:id="rId4"/>
    <sheet name="Alternative Contract" sheetId="16" r:id="rId5"/>
    <sheet name="Grading Rubric"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11" l="1"/>
  <c r="M31" i="11" s="1"/>
  <c r="K29" i="11"/>
  <c r="M29" i="11" s="1"/>
  <c r="K27" i="11"/>
  <c r="C8" i="16"/>
  <c r="C18" i="16"/>
  <c r="C19" i="16" s="1"/>
  <c r="I26" i="16"/>
  <c r="C26" i="16"/>
  <c r="K10" i="16" s="1"/>
  <c r="I25" i="16"/>
  <c r="I27" i="16" s="1"/>
  <c r="I21" i="16"/>
  <c r="I20" i="16"/>
  <c r="I22" i="16" s="1"/>
  <c r="C9" i="16"/>
  <c r="I8" i="16" s="1"/>
  <c r="J7" i="16"/>
  <c r="I7" i="16"/>
  <c r="K7" i="16" s="1"/>
  <c r="K22" i="11"/>
  <c r="K20" i="11"/>
  <c r="K18" i="11"/>
  <c r="M18" i="11" s="1"/>
  <c r="I26" i="15"/>
  <c r="C26" i="15"/>
  <c r="I25" i="15"/>
  <c r="I27" i="15" s="1"/>
  <c r="I21" i="15"/>
  <c r="I20" i="15"/>
  <c r="C18" i="15"/>
  <c r="C19" i="15" s="1"/>
  <c r="K10" i="15"/>
  <c r="C8" i="15"/>
  <c r="C9" i="15" s="1"/>
  <c r="J7" i="15"/>
  <c r="I7" i="15"/>
  <c r="K14" i="11"/>
  <c r="M14" i="11" s="1"/>
  <c r="K12" i="11"/>
  <c r="M12" i="11" s="1"/>
  <c r="K10" i="11"/>
  <c r="M10" i="11" s="1"/>
  <c r="C16" i="14"/>
  <c r="C6" i="14"/>
  <c r="M27" i="11"/>
  <c r="M22" i="11"/>
  <c r="M20" i="11"/>
  <c r="L31" i="11"/>
  <c r="L29" i="11"/>
  <c r="L27" i="11"/>
  <c r="L22" i="11"/>
  <c r="L20" i="11"/>
  <c r="L18" i="11"/>
  <c r="L12" i="11"/>
  <c r="L14" i="11"/>
  <c r="L10" i="11"/>
  <c r="I27" i="14"/>
  <c r="I26" i="14"/>
  <c r="C26" i="14"/>
  <c r="I25" i="14"/>
  <c r="I21" i="14"/>
  <c r="I20" i="14"/>
  <c r="I22" i="14" s="1"/>
  <c r="C18" i="14"/>
  <c r="C19" i="14" s="1"/>
  <c r="K10" i="14"/>
  <c r="C9" i="14"/>
  <c r="I8" i="14" s="1"/>
  <c r="C8" i="14"/>
  <c r="J7" i="14"/>
  <c r="I7" i="14"/>
  <c r="K7" i="14" s="1"/>
  <c r="I35" i="3"/>
  <c r="I33" i="3"/>
  <c r="I31" i="3"/>
  <c r="I29" i="3"/>
  <c r="K26" i="3"/>
  <c r="K27" i="3" s="1"/>
  <c r="K25" i="3"/>
  <c r="J27" i="3"/>
  <c r="J26" i="3"/>
  <c r="J25" i="3"/>
  <c r="K22" i="3"/>
  <c r="K21" i="3"/>
  <c r="K20" i="3"/>
  <c r="J20" i="3"/>
  <c r="I27" i="3"/>
  <c r="I26" i="3"/>
  <c r="I25" i="3"/>
  <c r="I20" i="3"/>
  <c r="J21" i="3"/>
  <c r="J22" i="3"/>
  <c r="K11" i="3"/>
  <c r="K9" i="3"/>
  <c r="J9" i="3"/>
  <c r="I9" i="3"/>
  <c r="I22" i="3"/>
  <c r="I21" i="3"/>
  <c r="K10" i="3"/>
  <c r="J8" i="3"/>
  <c r="K8" i="3" s="1"/>
  <c r="J7" i="3"/>
  <c r="K7" i="3" s="1"/>
  <c r="I8" i="3"/>
  <c r="I7" i="3"/>
  <c r="F23" i="3"/>
  <c r="F22" i="3"/>
  <c r="F19" i="3"/>
  <c r="F18" i="3"/>
  <c r="F6" i="3"/>
  <c r="F16" i="3"/>
  <c r="F4" i="3"/>
  <c r="F3" i="3"/>
  <c r="F15" i="3"/>
  <c r="F11" i="3"/>
  <c r="F10" i="3"/>
  <c r="F7" i="3"/>
  <c r="C26" i="3"/>
  <c r="C18" i="3"/>
  <c r="C19" i="3"/>
  <c r="C8" i="3"/>
  <c r="C9" i="3"/>
  <c r="D35" i="13"/>
  <c r="C35" i="13"/>
  <c r="J8" i="16" l="1"/>
  <c r="K8" i="16" s="1"/>
  <c r="K9" i="16" s="1"/>
  <c r="F15" i="16"/>
  <c r="J9" i="16"/>
  <c r="I9" i="16"/>
  <c r="F3" i="16"/>
  <c r="I22" i="15"/>
  <c r="F3" i="15"/>
  <c r="I8" i="15"/>
  <c r="I9" i="15"/>
  <c r="J8" i="15"/>
  <c r="J9" i="15" s="1"/>
  <c r="F15" i="15"/>
  <c r="K7" i="15"/>
  <c r="J8" i="14"/>
  <c r="K8" i="14" s="1"/>
  <c r="K9" i="14" s="1"/>
  <c r="F15" i="14"/>
  <c r="J9" i="14"/>
  <c r="I9" i="14"/>
  <c r="F3" i="14"/>
  <c r="I13" i="3"/>
  <c r="I17" i="3"/>
  <c r="K11" i="16" l="1"/>
  <c r="I33" i="16" s="1"/>
  <c r="I35" i="16" s="1"/>
  <c r="I17" i="16"/>
  <c r="I13" i="16"/>
  <c r="F16" i="16"/>
  <c r="F22" i="16"/>
  <c r="F18" i="16"/>
  <c r="F6" i="16"/>
  <c r="F10" i="16"/>
  <c r="F4" i="16"/>
  <c r="F18" i="15"/>
  <c r="F22" i="15"/>
  <c r="F16" i="15"/>
  <c r="K8" i="15"/>
  <c r="K9" i="15" s="1"/>
  <c r="F6" i="15"/>
  <c r="F10" i="15"/>
  <c r="F4" i="15"/>
  <c r="K11" i="14"/>
  <c r="I33" i="14" s="1"/>
  <c r="I35" i="14" s="1"/>
  <c r="I17" i="14"/>
  <c r="K13" i="14"/>
  <c r="F22" i="14"/>
  <c r="F16" i="14"/>
  <c r="F18" i="14"/>
  <c r="F4" i="14"/>
  <c r="F10" i="14"/>
  <c r="F6" i="14"/>
  <c r="K20" i="16" l="1"/>
  <c r="K25" i="16"/>
  <c r="K21" i="16"/>
  <c r="K26" i="16"/>
  <c r="J25" i="16"/>
  <c r="J21" i="16"/>
  <c r="J26" i="16"/>
  <c r="J20" i="16"/>
  <c r="J22" i="16" s="1"/>
  <c r="F19" i="16"/>
  <c r="F23" i="16"/>
  <c r="F7" i="16"/>
  <c r="F11" i="16"/>
  <c r="I13" i="15"/>
  <c r="I17" i="15"/>
  <c r="K11" i="15"/>
  <c r="I33" i="15" s="1"/>
  <c r="I35" i="15" s="1"/>
  <c r="F23" i="15"/>
  <c r="F19" i="15"/>
  <c r="F7" i="15"/>
  <c r="F11" i="15"/>
  <c r="F11" i="14"/>
  <c r="F7" i="14"/>
  <c r="F23" i="14"/>
  <c r="F19" i="14"/>
  <c r="J25" i="14"/>
  <c r="J21" i="14"/>
  <c r="J20" i="14"/>
  <c r="J22" i="14" s="1"/>
  <c r="J26" i="14"/>
  <c r="K20" i="14"/>
  <c r="K26" i="14"/>
  <c r="K25" i="14"/>
  <c r="K27" i="14" s="1"/>
  <c r="K21" i="14"/>
  <c r="J27" i="16" l="1"/>
  <c r="K27" i="16"/>
  <c r="K22" i="16"/>
  <c r="I29" i="16" s="1"/>
  <c r="I31" i="16" s="1"/>
  <c r="J21" i="15"/>
  <c r="J20" i="15"/>
  <c r="J25" i="15"/>
  <c r="J26" i="15"/>
  <c r="K25" i="15"/>
  <c r="K21" i="15"/>
  <c r="K20" i="15"/>
  <c r="K22" i="15" s="1"/>
  <c r="I29" i="15" s="1"/>
  <c r="I31" i="15" s="1"/>
  <c r="K26" i="15"/>
  <c r="J27" i="14"/>
  <c r="K22" i="14"/>
  <c r="I29" i="14" s="1"/>
  <c r="I31" i="14" s="1"/>
  <c r="J27" i="15" l="1"/>
  <c r="K27" i="15"/>
  <c r="J22" i="15"/>
</calcChain>
</file>

<file path=xl/sharedStrings.xml><?xml version="1.0" encoding="utf-8"?>
<sst xmlns="http://schemas.openxmlformats.org/spreadsheetml/2006/main" count="347" uniqueCount="79">
  <si>
    <t>ASSUMPTIONS</t>
  </si>
  <si>
    <t>Sales price per unit</t>
  </si>
  <si>
    <t>Product #1:</t>
  </si>
  <si>
    <t>Product #2:</t>
  </si>
  <si>
    <t>Product #1</t>
  </si>
  <si>
    <t>Product #2</t>
  </si>
  <si>
    <t>Monthly volume</t>
  </si>
  <si>
    <t>For the month ending June 30</t>
  </si>
  <si>
    <t>Total</t>
  </si>
  <si>
    <t>CM %</t>
  </si>
  <si>
    <t>-in units</t>
  </si>
  <si>
    <t>-in sales revenue</t>
  </si>
  <si>
    <t>Target profit volume:</t>
  </si>
  <si>
    <t>Breakeven point:</t>
  </si>
  <si>
    <t>Unit CM</t>
  </si>
  <si>
    <t>Variable costs per unit:</t>
  </si>
  <si>
    <t>Total variable cost per unit</t>
  </si>
  <si>
    <t>Target profit per month</t>
  </si>
  <si>
    <t>Margin of Safety (in $)</t>
  </si>
  <si>
    <t>Margin of Safety %</t>
  </si>
  <si>
    <t>Operating Leverage Factor</t>
  </si>
  <si>
    <t>Expected change in volume (%)</t>
  </si>
  <si>
    <t>Fixed costs per month:</t>
  </si>
  <si>
    <t>Total fixed costs per month</t>
  </si>
  <si>
    <t>Operating income</t>
  </si>
  <si>
    <t>Pro Forma Contribution Margin Income Statement</t>
  </si>
  <si>
    <t>Multiproduct Breakeven point:</t>
  </si>
  <si>
    <t>Expected % change in operating income (%)</t>
  </si>
  <si>
    <t>Multiproduct Target profit point:</t>
  </si>
  <si>
    <t>NEW</t>
  </si>
  <si>
    <t>Change</t>
  </si>
  <si>
    <t>ORIGINAL</t>
  </si>
  <si>
    <t>Units to earn target profit</t>
  </si>
  <si>
    <t>Operating leverage factor</t>
  </si>
  <si>
    <t>Expected % change in op inc</t>
  </si>
  <si>
    <t>Grading Rubric</t>
  </si>
  <si>
    <t>Formatting conventions followed:</t>
  </si>
  <si>
    <t>units</t>
  </si>
  <si>
    <t>monetary amounts</t>
  </si>
  <si>
    <t>percentages</t>
  </si>
  <si>
    <t>right justified</t>
  </si>
  <si>
    <t>Original Assumption worksheet</t>
  </si>
  <si>
    <t>Advising Client worksheet</t>
  </si>
  <si>
    <t>Correct comparison figures</t>
  </si>
  <si>
    <t>Explanation</t>
  </si>
  <si>
    <t>Supplier cost increase (green boxes)</t>
  </si>
  <si>
    <t>New Sales mix (yellow boxes)</t>
  </si>
  <si>
    <t>Alternative contract (purple boxes)</t>
  </si>
  <si>
    <t>Data on worksheet follows formatting conventions</t>
  </si>
  <si>
    <t>Other 3 worksheets properly labeled</t>
  </si>
  <si>
    <t>Other 3 Worksheets</t>
  </si>
  <si>
    <t>Points possible</t>
  </si>
  <si>
    <t>Points lost</t>
  </si>
  <si>
    <t xml:space="preserve"> </t>
  </si>
  <si>
    <t>All figures are correct (check figures given in directions)</t>
  </si>
  <si>
    <t>Launch-it</t>
  </si>
  <si>
    <t>Treat-time</t>
  </si>
  <si>
    <r>
      <t>ALL figures used formulas and cell references</t>
    </r>
    <r>
      <rPr>
        <b/>
        <i/>
        <sz val="11"/>
        <color theme="1"/>
        <rFont val="Calibri"/>
        <family val="2"/>
        <scheme val="minor"/>
      </rPr>
      <t xml:space="preserve"> except</t>
    </r>
    <r>
      <rPr>
        <sz val="11"/>
        <color theme="1"/>
        <rFont val="Calibri"/>
        <family val="2"/>
        <scheme val="minor"/>
      </rPr>
      <t xml:space="preserve"> in blue box</t>
    </r>
  </si>
  <si>
    <t>Mike's Pet Supplies</t>
  </si>
  <si>
    <t>File specifies your name</t>
  </si>
  <si>
    <t>Sales</t>
  </si>
  <si>
    <t>Variable costs</t>
  </si>
  <si>
    <t>Contribution margin</t>
  </si>
  <si>
    <t>Fixed costs</t>
  </si>
  <si>
    <t>Net operating Income</t>
  </si>
  <si>
    <t>Shipping and Handling</t>
  </si>
  <si>
    <t>Work Contract</t>
  </si>
  <si>
    <t>Entry Fees</t>
  </si>
  <si>
    <t>Cost of goods sold</t>
  </si>
  <si>
    <t>-in dollars</t>
  </si>
  <si>
    <t>Sales Commissions (10%)</t>
  </si>
  <si>
    <t>Weighted-Average CM %</t>
  </si>
  <si>
    <t>Sales mix %</t>
  </si>
  <si>
    <t>in Units</t>
  </si>
  <si>
    <t>in Dollars</t>
  </si>
  <si>
    <t>Weighted-Average CM/unit</t>
  </si>
  <si>
    <t>Calculation of Weighted-average CM per unit</t>
  </si>
  <si>
    <t>Weighted average CM per unit:</t>
  </si>
  <si>
    <t>Sales Commissions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</si>
</sst>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400]h:mm:ss\ AM/PM"/>
    <numFmt numFmtId="165" formatCode="_(* #,##0_);_(* \(#,##0\);_(* &quot;-&quot;??_);_(@_)"/>
    <numFmt numFmtId="175" formatCode="0.0"/>
    <numFmt numFmtId="177" formatCode="_(* #,##0.0_);_(* \(#,##0.0\);_(* &quot;-&quot;??_);_(@_)"/>
  </numFmts>
  <fonts count="7" x14ac:knownFonts="1">
    <font>
      <sz val="11"/>
      <color theme="1"/>
      <name val="Calibri"/>
      <family val="2"/>
      <scheme val="minor"/>
    </font>
    <font>
      <sz val="11"/>
      <color theme="1"/>
      <name val="Calibri"/>
      <family val="2"/>
      <scheme val="minor"/>
    </font>
    <font>
      <u/>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b/>
      <sz val="11"/>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2"/>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4">
    <xf numFmtId="0" fontId="0" fillId="0" borderId="0" xfId="0"/>
    <xf numFmtId="0" fontId="2" fillId="0" borderId="0" xfId="0" applyFont="1" applyAlignment="1">
      <alignment horizontal="center"/>
    </xf>
    <xf numFmtId="44" fontId="0" fillId="0" borderId="0" xfId="1" applyFont="1" applyFill="1" applyBorder="1"/>
    <xf numFmtId="0" fontId="0" fillId="3" borderId="8" xfId="0" applyFill="1" applyBorder="1"/>
    <xf numFmtId="0" fontId="0" fillId="3" borderId="10" xfId="0" applyFill="1" applyBorder="1"/>
    <xf numFmtId="0" fontId="0" fillId="4" borderId="8" xfId="0" applyFill="1" applyBorder="1"/>
    <xf numFmtId="49" fontId="0" fillId="4" borderId="8" xfId="1" applyNumberFormat="1" applyFont="1" applyFill="1" applyBorder="1" applyAlignment="1">
      <alignment horizontal="left" indent="1"/>
    </xf>
    <xf numFmtId="49" fontId="0" fillId="4" borderId="12" xfId="1" applyNumberFormat="1" applyFont="1" applyFill="1" applyBorder="1" applyAlignment="1">
      <alignment horizontal="left" indent="1"/>
    </xf>
    <xf numFmtId="0" fontId="0" fillId="2" borderId="8" xfId="0" applyFill="1" applyBorder="1"/>
    <xf numFmtId="0" fontId="0" fillId="2" borderId="12" xfId="0" applyFill="1" applyBorder="1"/>
    <xf numFmtId="0" fontId="0" fillId="5" borderId="15" xfId="0" applyFill="1" applyBorder="1"/>
    <xf numFmtId="0" fontId="0" fillId="5" borderId="8" xfId="0" applyFill="1" applyBorder="1"/>
    <xf numFmtId="0" fontId="0" fillId="5" borderId="9" xfId="0" applyFill="1" applyBorder="1"/>
    <xf numFmtId="49" fontId="0" fillId="5" borderId="8" xfId="0" applyNumberFormat="1" applyFill="1" applyBorder="1"/>
    <xf numFmtId="0" fontId="0" fillId="5" borderId="12" xfId="0" applyFill="1" applyBorder="1"/>
    <xf numFmtId="0" fontId="0" fillId="2" borderId="8" xfId="0" applyFill="1" applyBorder="1" applyAlignment="1">
      <alignment horizontal="left" indent="1"/>
    </xf>
    <xf numFmtId="44" fontId="0" fillId="4" borderId="9" xfId="1" applyFont="1" applyFill="1" applyBorder="1"/>
    <xf numFmtId="49" fontId="0" fillId="0" borderId="0" xfId="1" applyNumberFormat="1" applyFont="1" applyFill="1" applyBorder="1" applyAlignment="1">
      <alignment horizontal="left" indent="1"/>
    </xf>
    <xf numFmtId="44" fontId="0" fillId="4" borderId="14" xfId="1" applyFont="1" applyFill="1" applyBorder="1"/>
    <xf numFmtId="0" fontId="0" fillId="6" borderId="15" xfId="0" applyFill="1" applyBorder="1"/>
    <xf numFmtId="0" fontId="0" fillId="6" borderId="8" xfId="0" applyFill="1" applyBorder="1" applyAlignment="1">
      <alignment horizontal="left" indent="1"/>
    </xf>
    <xf numFmtId="0" fontId="0" fillId="2" borderId="9" xfId="0" applyFill="1" applyBorder="1" applyAlignment="1">
      <alignment horizontal="left" indent="1"/>
    </xf>
    <xf numFmtId="0" fontId="0" fillId="3" borderId="20" xfId="0" applyFill="1" applyBorder="1"/>
    <xf numFmtId="0" fontId="0" fillId="3" borderId="22" xfId="0" applyFill="1" applyBorder="1"/>
    <xf numFmtId="0" fontId="3" fillId="2" borderId="15" xfId="0" applyFont="1" applyFill="1" applyBorder="1"/>
    <xf numFmtId="0" fontId="3" fillId="2" borderId="8" xfId="0" applyFont="1" applyFill="1" applyBorder="1"/>
    <xf numFmtId="0" fontId="4" fillId="4" borderId="15" xfId="0" applyFont="1" applyFill="1" applyBorder="1"/>
    <xf numFmtId="0" fontId="4" fillId="4" borderId="16" xfId="0" applyFont="1" applyFill="1" applyBorder="1"/>
    <xf numFmtId="0" fontId="4" fillId="3" borderId="7" xfId="0" applyFont="1" applyFill="1" applyBorder="1" applyAlignment="1">
      <alignment horizontal="center"/>
    </xf>
    <xf numFmtId="0" fontId="4" fillId="3" borderId="11" xfId="0" applyFont="1" applyFill="1" applyBorder="1" applyAlignment="1">
      <alignment horizontal="center"/>
    </xf>
    <xf numFmtId="44" fontId="4" fillId="4" borderId="16" xfId="1" applyFont="1" applyFill="1" applyBorder="1"/>
    <xf numFmtId="0" fontId="4" fillId="2" borderId="16" xfId="0" applyFont="1" applyFill="1" applyBorder="1"/>
    <xf numFmtId="0" fontId="4" fillId="2" borderId="9" xfId="0" applyFont="1" applyFill="1" applyBorder="1" applyAlignment="1">
      <alignment horizontal="left" indent="1"/>
    </xf>
    <xf numFmtId="44" fontId="0" fillId="7" borderId="0" xfId="0" applyNumberFormat="1" applyFill="1"/>
    <xf numFmtId="0" fontId="2" fillId="0" borderId="0" xfId="0" applyFont="1"/>
    <xf numFmtId="9" fontId="0" fillId="7" borderId="0" xfId="0" applyNumberFormat="1" applyFill="1"/>
    <xf numFmtId="44" fontId="0" fillId="8" borderId="0" xfId="0" applyNumberFormat="1" applyFill="1"/>
    <xf numFmtId="44" fontId="0" fillId="5" borderId="0" xfId="0" applyNumberFormat="1" applyFill="1"/>
    <xf numFmtId="9" fontId="0" fillId="7" borderId="0" xfId="2" applyFont="1" applyFill="1"/>
    <xf numFmtId="9" fontId="0" fillId="0" borderId="0" xfId="2" applyFont="1"/>
    <xf numFmtId="0" fontId="0" fillId="0" borderId="0" xfId="0" applyAlignment="1">
      <alignment horizontal="left" indent="1"/>
    </xf>
    <xf numFmtId="0" fontId="3" fillId="0" borderId="0" xfId="0" applyFont="1"/>
    <xf numFmtId="0" fontId="4" fillId="0" borderId="0" xfId="0" applyFont="1"/>
    <xf numFmtId="0" fontId="0" fillId="0" borderId="0" xfId="0" applyAlignment="1">
      <alignment wrapText="1"/>
    </xf>
    <xf numFmtId="0" fontId="0" fillId="0" borderId="0" xfId="0" applyAlignment="1">
      <alignment horizontal="center"/>
    </xf>
    <xf numFmtId="0" fontId="4" fillId="0" borderId="0" xfId="0" applyFont="1" applyAlignment="1">
      <alignment horizontal="center"/>
    </xf>
    <xf numFmtId="0" fontId="0" fillId="0" borderId="23" xfId="0" applyBorder="1"/>
    <xf numFmtId="0" fontId="0" fillId="0" borderId="0" xfId="0" applyAlignment="1">
      <alignment horizontal="right"/>
    </xf>
    <xf numFmtId="44" fontId="0" fillId="4" borderId="9" xfId="1" applyFont="1" applyFill="1" applyBorder="1" applyAlignment="1">
      <alignment horizontal="center"/>
    </xf>
    <xf numFmtId="164" fontId="0" fillId="10" borderId="8" xfId="0" applyNumberFormat="1" applyFill="1" applyBorder="1"/>
    <xf numFmtId="44" fontId="0" fillId="10" borderId="9" xfId="1" applyFont="1" applyFill="1" applyBorder="1"/>
    <xf numFmtId="0" fontId="0" fillId="3" borderId="27" xfId="0" applyFill="1" applyBorder="1"/>
    <xf numFmtId="0" fontId="0" fillId="9" borderId="30" xfId="0" applyFill="1" applyBorder="1"/>
    <xf numFmtId="0" fontId="0" fillId="9" borderId="31" xfId="0" applyFill="1" applyBorder="1"/>
    <xf numFmtId="0" fontId="0" fillId="11" borderId="7" xfId="0" applyFill="1" applyBorder="1"/>
    <xf numFmtId="0" fontId="0" fillId="11" borderId="9" xfId="0" applyFill="1" applyBorder="1"/>
    <xf numFmtId="0" fontId="0" fillId="11" borderId="8" xfId="0" applyFill="1" applyBorder="1"/>
    <xf numFmtId="0" fontId="0" fillId="11" borderId="12" xfId="0" applyFill="1" applyBorder="1"/>
    <xf numFmtId="0" fontId="0" fillId="11" borderId="13" xfId="0" applyFill="1" applyBorder="1"/>
    <xf numFmtId="0" fontId="0" fillId="11" borderId="14" xfId="0" applyFill="1" applyBorder="1"/>
    <xf numFmtId="0" fontId="4" fillId="6" borderId="17" xfId="0" applyFont="1" applyFill="1" applyBorder="1" applyAlignment="1">
      <alignment horizontal="right"/>
    </xf>
    <xf numFmtId="0" fontId="4" fillId="6" borderId="17" xfId="0" applyFont="1" applyFill="1" applyBorder="1" applyAlignment="1">
      <alignment horizontal="center"/>
    </xf>
    <xf numFmtId="0" fontId="4" fillId="6" borderId="16" xfId="0" applyFont="1" applyFill="1" applyBorder="1" applyAlignment="1">
      <alignment horizontal="right"/>
    </xf>
    <xf numFmtId="0" fontId="3" fillId="6" borderId="12" xfId="0" applyFont="1" applyFill="1" applyBorder="1" applyAlignment="1">
      <alignment horizontal="left" indent="1"/>
    </xf>
    <xf numFmtId="0" fontId="0" fillId="12" borderId="12" xfId="0" applyFill="1" applyBorder="1"/>
    <xf numFmtId="44" fontId="0" fillId="2" borderId="9" xfId="1" applyFont="1" applyFill="1" applyBorder="1" applyAlignment="1">
      <alignment horizontal="left" indent="1"/>
    </xf>
    <xf numFmtId="44" fontId="0" fillId="2" borderId="9" xfId="0" applyNumberFormat="1" applyFill="1" applyBorder="1" applyAlignment="1">
      <alignment horizontal="left" indent="1"/>
    </xf>
    <xf numFmtId="9" fontId="0" fillId="2" borderId="14" xfId="2" applyFont="1" applyFill="1" applyBorder="1" applyAlignment="1">
      <alignment horizontal="left" indent="1"/>
    </xf>
    <xf numFmtId="0" fontId="0" fillId="2" borderId="9" xfId="0" applyFill="1" applyBorder="1" applyAlignment="1">
      <alignment horizontal="right" indent="1"/>
    </xf>
    <xf numFmtId="9" fontId="0" fillId="4" borderId="9" xfId="2" applyFont="1" applyFill="1" applyBorder="1" applyAlignment="1">
      <alignment horizontal="right"/>
    </xf>
    <xf numFmtId="0" fontId="0" fillId="4" borderId="9" xfId="1" applyNumberFormat="1" applyFont="1" applyFill="1" applyBorder="1"/>
    <xf numFmtId="165" fontId="0" fillId="4" borderId="9" xfId="3" applyNumberFormat="1" applyFont="1" applyFill="1" applyBorder="1"/>
    <xf numFmtId="9" fontId="0" fillId="4" borderId="9" xfId="2" applyFont="1" applyFill="1" applyBorder="1"/>
    <xf numFmtId="44" fontId="0" fillId="3" borderId="6" xfId="0" applyNumberFormat="1" applyFill="1" applyBorder="1"/>
    <xf numFmtId="44" fontId="0" fillId="9" borderId="28" xfId="0" applyNumberFormat="1" applyFill="1" applyBorder="1"/>
    <xf numFmtId="44" fontId="0" fillId="9" borderId="29" xfId="0" applyNumberFormat="1" applyFill="1" applyBorder="1"/>
    <xf numFmtId="44" fontId="0" fillId="3" borderId="9" xfId="0" applyNumberFormat="1" applyFill="1" applyBorder="1"/>
    <xf numFmtId="44" fontId="0" fillId="3" borderId="26" xfId="0" applyNumberFormat="1" applyFill="1" applyBorder="1"/>
    <xf numFmtId="44" fontId="0" fillId="3" borderId="32" xfId="0" applyNumberFormat="1" applyFill="1" applyBorder="1"/>
    <xf numFmtId="9" fontId="0" fillId="6" borderId="6" xfId="2" applyFont="1" applyFill="1" applyBorder="1" applyAlignment="1">
      <alignment horizontal="left" indent="1"/>
    </xf>
    <xf numFmtId="9" fontId="0" fillId="6" borderId="13" xfId="0" applyNumberFormat="1" applyFill="1" applyBorder="1" applyAlignment="1">
      <alignment horizontal="left" indent="1"/>
    </xf>
    <xf numFmtId="165" fontId="0" fillId="6" borderId="13" xfId="3" applyNumberFormat="1" applyFont="1" applyFill="1" applyBorder="1" applyAlignment="1">
      <alignment horizontal="left" indent="1"/>
    </xf>
    <xf numFmtId="44" fontId="0" fillId="6" borderId="13" xfId="1" applyFont="1" applyFill="1" applyBorder="1" applyAlignment="1">
      <alignment horizontal="left" indent="1"/>
    </xf>
    <xf numFmtId="44" fontId="0" fillId="12" borderId="14" xfId="1" applyFont="1" applyFill="1" applyBorder="1"/>
    <xf numFmtId="44" fontId="0" fillId="6" borderId="9" xfId="0" applyNumberFormat="1" applyFill="1" applyBorder="1" applyAlignment="1">
      <alignment horizontal="left" indent="1"/>
    </xf>
    <xf numFmtId="1" fontId="0" fillId="6" borderId="6" xfId="0" applyNumberFormat="1" applyFill="1" applyBorder="1" applyAlignment="1">
      <alignment horizontal="right" indent="1"/>
    </xf>
    <xf numFmtId="1" fontId="0" fillId="6" borderId="6" xfId="0" applyNumberFormat="1" applyFill="1" applyBorder="1" applyAlignment="1">
      <alignment horizontal="left" indent="1"/>
    </xf>
    <xf numFmtId="9" fontId="0" fillId="3" borderId="24" xfId="2" applyFont="1" applyFill="1" applyBorder="1" applyAlignment="1">
      <alignment horizontal="right"/>
    </xf>
    <xf numFmtId="9" fontId="0" fillId="3" borderId="25" xfId="2" applyFont="1" applyFill="1" applyBorder="1" applyAlignment="1">
      <alignment horizontal="right"/>
    </xf>
    <xf numFmtId="9" fontId="0" fillId="3" borderId="26" xfId="2" applyFont="1" applyFill="1" applyBorder="1" applyAlignment="1">
      <alignment horizontal="right"/>
    </xf>
    <xf numFmtId="0" fontId="2" fillId="2" borderId="27" xfId="0" applyFont="1" applyFill="1" applyBorder="1" applyAlignment="1">
      <alignment horizontal="left"/>
    </xf>
    <xf numFmtId="0" fontId="2" fillId="2" borderId="26" xfId="0" applyFont="1" applyFill="1" applyBorder="1" applyAlignment="1">
      <alignment horizontal="left"/>
    </xf>
    <xf numFmtId="0" fontId="0" fillId="12" borderId="15" xfId="0" applyFill="1" applyBorder="1" applyAlignment="1">
      <alignment horizontal="center"/>
    </xf>
    <xf numFmtId="0" fontId="0" fillId="12" borderId="16" xfId="0" applyFill="1" applyBorder="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0" fillId="3" borderId="1" xfId="0"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0" xfId="0" applyFill="1" applyAlignment="1">
      <alignment horizontal="center"/>
    </xf>
    <xf numFmtId="0" fontId="0" fillId="3" borderId="4" xfId="0" applyFill="1" applyBorder="1" applyAlignment="1">
      <alignment horizontal="center"/>
    </xf>
    <xf numFmtId="0" fontId="0" fillId="3" borderId="21" xfId="0" applyFill="1" applyBorder="1" applyAlignment="1">
      <alignment horizontal="center"/>
    </xf>
    <xf numFmtId="0" fontId="0" fillId="3" borderId="20" xfId="0" applyFill="1" applyBorder="1" applyAlignment="1">
      <alignment horizontal="center"/>
    </xf>
    <xf numFmtId="44" fontId="0" fillId="4" borderId="27" xfId="1" applyFont="1" applyFill="1" applyBorder="1" applyAlignment="1">
      <alignment horizontal="left"/>
    </xf>
    <xf numFmtId="44" fontId="0" fillId="4" borderId="26" xfId="1" applyFont="1" applyFill="1" applyBorder="1" applyAlignment="1">
      <alignment horizontal="left"/>
    </xf>
    <xf numFmtId="164" fontId="0" fillId="4" borderId="27" xfId="0" applyNumberFormat="1" applyFill="1" applyBorder="1" applyAlignment="1">
      <alignment horizontal="left"/>
    </xf>
    <xf numFmtId="164" fontId="0" fillId="4" borderId="26" xfId="0" applyNumberFormat="1" applyFill="1" applyBorder="1" applyAlignment="1">
      <alignment horizontal="left"/>
    </xf>
    <xf numFmtId="1" fontId="0" fillId="6" borderId="13" xfId="0" applyNumberFormat="1" applyFill="1" applyBorder="1" applyAlignment="1">
      <alignment horizontal="left" indent="1"/>
    </xf>
    <xf numFmtId="44" fontId="0" fillId="6" borderId="14" xfId="1" applyFont="1" applyFill="1" applyBorder="1" applyAlignment="1">
      <alignment horizontal="left" indent="1"/>
    </xf>
    <xf numFmtId="44" fontId="0" fillId="5" borderId="16" xfId="0" applyNumberFormat="1" applyFill="1" applyBorder="1"/>
    <xf numFmtId="9" fontId="0" fillId="5" borderId="9" xfId="2" applyFont="1" applyFill="1" applyBorder="1"/>
    <xf numFmtId="9" fontId="0" fillId="5" borderId="14" xfId="2" applyFont="1" applyFill="1" applyBorder="1"/>
    <xf numFmtId="175" fontId="0" fillId="5" borderId="9" xfId="0" applyNumberFormat="1" applyFill="1" applyBorder="1"/>
    <xf numFmtId="9" fontId="0" fillId="5" borderId="0" xfId="0" applyNumberFormat="1" applyFill="1"/>
    <xf numFmtId="1" fontId="0" fillId="4" borderId="9" xfId="1" applyNumberFormat="1" applyFont="1" applyFill="1" applyBorder="1"/>
    <xf numFmtId="165" fontId="0" fillId="6" borderId="13" xfId="3" applyNumberFormat="1" applyFont="1" applyFill="1" applyBorder="1" applyAlignment="1">
      <alignment horizontal="right"/>
    </xf>
    <xf numFmtId="9" fontId="0" fillId="3" borderId="25" xfId="2" applyFont="1" applyFill="1" applyBorder="1" applyAlignment="1"/>
    <xf numFmtId="0" fontId="0" fillId="3" borderId="0" xfId="0" applyFill="1" applyBorder="1" applyAlignment="1">
      <alignment horizontal="center"/>
    </xf>
    <xf numFmtId="0" fontId="0" fillId="3" borderId="0" xfId="0" applyFill="1" applyBorder="1"/>
    <xf numFmtId="9" fontId="0" fillId="3" borderId="9" xfId="2" applyFont="1" applyFill="1" applyBorder="1" applyAlignment="1"/>
    <xf numFmtId="9" fontId="0" fillId="5" borderId="0" xfId="2" applyFont="1" applyFill="1"/>
    <xf numFmtId="177" fontId="0" fillId="5" borderId="0" xfId="3" applyNumberFormat="1" applyFont="1" applyFill="1"/>
    <xf numFmtId="165" fontId="0" fillId="8" borderId="0" xfId="3" applyNumberFormat="1" applyFont="1" applyFill="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C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171450</xdr:rowOff>
    </xdr:from>
    <xdr:to>
      <xdr:col>8</xdr:col>
      <xdr:colOff>523875</xdr:colOff>
      <xdr:row>32</xdr:row>
      <xdr:rowOff>171450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0025" y="933450"/>
          <a:ext cx="5200650"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Once</a:t>
          </a:r>
          <a:r>
            <a:rPr lang="en-US" sz="1100" baseline="0"/>
            <a:t> you have built the model, use it to answer Mike's questions about his business.   </a:t>
          </a:r>
          <a:r>
            <a:rPr lang="en-US" sz="1100" b="1" baseline="0"/>
            <a:t>Treat each situation as a separate scenario.  All comparisons should be made to the original assumptions.</a:t>
          </a:r>
        </a:p>
        <a:p>
          <a:endParaRPr lang="en-US" sz="1100" baseline="0"/>
        </a:p>
        <a:p>
          <a:r>
            <a:rPr lang="en-US" sz="1100" baseline="0"/>
            <a:t>1.   Save a copy of your original model to a new spreadsheet called "supplier cost increase".  Say the supplier is expected to increase the cost of the products by 20%.    What is the new operating income? What is the new Weighted-Average CM%? What is the new Margin of Safety%?   Briefly explain your findings to the client.</a:t>
          </a:r>
        </a:p>
        <a:p>
          <a:endParaRPr lang="en-US" sz="1100" baseline="0"/>
        </a:p>
        <a:p>
          <a:endParaRPr lang="en-US" sz="1100" baseline="0"/>
        </a:p>
        <a:p>
          <a:endParaRPr lang="en-US" sz="1100" baseline="0"/>
        </a:p>
        <a:p>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2.   Save a copy of your original model to a new spreadsheet called "new sales mix".   Say the monthly sales volume is now expected to be 300 "Launch-its" and 700</a:t>
          </a:r>
          <a:r>
            <a:rPr lang="en-US" sz="1100" baseline="0">
              <a:solidFill>
                <a:schemeClr val="dk1"/>
              </a:solidFill>
              <a:effectLst/>
              <a:latin typeface="+mn-lt"/>
              <a:ea typeface="+mn-ea"/>
              <a:cs typeface="+mn-cs"/>
            </a:rPr>
            <a:t> "Treat-times" and </a:t>
          </a:r>
          <a:r>
            <a:rPr lang="en-US" sz="1100" baseline="0"/>
            <a:t> (same total units, but a different sales mix). What is the new operating income?    What is the new WACM/unit ?  Given this sales mix, how many units (in total) will Mike need to sell to earn his target profit? </a:t>
          </a:r>
          <a:r>
            <a:rPr lang="en-US" sz="1100" baseline="0">
              <a:solidFill>
                <a:schemeClr val="dk1"/>
              </a:solidFill>
              <a:effectLst/>
              <a:latin typeface="+mn-lt"/>
              <a:ea typeface="+mn-ea"/>
              <a:cs typeface="+mn-cs"/>
            </a:rPr>
            <a:t>Briefly explain your findings to the client.</a:t>
          </a:r>
          <a:endParaRPr lang="en-US" sz="1100" baseline="0"/>
        </a:p>
        <a:p>
          <a:endParaRPr lang="en-US" sz="1100" baseline="0"/>
        </a:p>
        <a:p>
          <a:endParaRPr lang="en-US" sz="1100" baseline="0"/>
        </a:p>
        <a:p>
          <a:endParaRPr lang="en-US" sz="1100" baseline="0"/>
        </a:p>
        <a:p>
          <a:endParaRPr lang="en-US" sz="1100" baseline="0"/>
        </a:p>
        <a:p>
          <a:endParaRPr lang="en-US" sz="1100" baseline="0"/>
        </a:p>
        <a:p>
          <a:pPr eaLnBrk="1" fontAlgn="auto" latinLnBrk="0" hangingPunct="1"/>
          <a:r>
            <a:rPr lang="en-US" sz="1100" baseline="0"/>
            <a:t>3</a:t>
          </a:r>
          <a:r>
            <a:rPr lang="en-US" sz="1100" baseline="0">
              <a:solidFill>
                <a:schemeClr val="dk1"/>
              </a:solidFill>
              <a:effectLst/>
              <a:latin typeface="+mn-lt"/>
              <a:ea typeface="+mn-ea"/>
              <a:cs typeface="+mn-cs"/>
            </a:rPr>
            <a:t>.   Save a copy of your original model to a new spreadsheet called "alternative contract". Say Mike's employee wanted to negotiate a different work contract: $4,200 per month plus 5% of revenue. Given his original sales volume and mix, how would this contract have changed Mike's operating income?  What is the new operating leverage factor?  What is the new expected percentage change in operating income if volume increases as expected in the future? Briefly explain your findings to the client.</a:t>
          </a:r>
          <a:endParaRPr lang="en-US">
            <a:effectLst/>
          </a:endParaRPr>
        </a:p>
        <a:p>
          <a:endParaRPr lang="en-US" sz="1100" baseline="0"/>
        </a:p>
      </xdr:txBody>
    </xdr:sp>
    <xdr:clientData/>
  </xdr:twoCellAnchor>
  <xdr:twoCellAnchor>
    <xdr:from>
      <xdr:col>14</xdr:col>
      <xdr:colOff>19050</xdr:colOff>
      <xdr:row>17</xdr:row>
      <xdr:rowOff>0</xdr:rowOff>
    </xdr:from>
    <xdr:to>
      <xdr:col>20</xdr:col>
      <xdr:colOff>590550</xdr:colOff>
      <xdr:row>23</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086975" y="3238500"/>
          <a:ext cx="4229100" cy="1143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 explanation:</a:t>
          </a:r>
          <a:r>
            <a:rPr lang="en-US" sz="1100" baseline="0"/>
            <a:t> With this new sales mix NOI will increase by $900, the weighted average CM per unit increases by 0.90, and the units needed to earn the target profit decreases by 130 units overall. This is a great sales mix, your income increases and units needed to sell decreases. </a:t>
          </a:r>
          <a:endParaRPr lang="en-US" sz="1100"/>
        </a:p>
      </xdr:txBody>
    </xdr:sp>
    <xdr:clientData/>
  </xdr:twoCellAnchor>
  <xdr:twoCellAnchor>
    <xdr:from>
      <xdr:col>13</xdr:col>
      <xdr:colOff>600075</xdr:colOff>
      <xdr:row>9</xdr:row>
      <xdr:rowOff>9525</xdr:rowOff>
    </xdr:from>
    <xdr:to>
      <xdr:col>20</xdr:col>
      <xdr:colOff>542925</xdr:colOff>
      <xdr:row>14</xdr:row>
      <xdr:rowOff>161925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58400" y="1724025"/>
          <a:ext cx="4210050" cy="11049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 explanation:</a:t>
          </a:r>
          <a:r>
            <a:rPr lang="en-US" sz="1100" baseline="0"/>
            <a:t> When the price of products increases it causes a ripple effect throughout. The NOI will decrease by $1,440.00, the weighted average CM will decrease by 6% and the margin of safety decreases by 7%.  If this were to happen I would reccomend increasing sales price to keep up with the suppliers change. </a:t>
          </a:r>
          <a:endParaRPr lang="en-US" sz="1100"/>
        </a:p>
      </xdr:txBody>
    </xdr:sp>
    <xdr:clientData/>
  </xdr:twoCellAnchor>
  <xdr:twoCellAnchor>
    <xdr:from>
      <xdr:col>13</xdr:col>
      <xdr:colOff>600075</xdr:colOff>
      <xdr:row>26</xdr:row>
      <xdr:rowOff>19050</xdr:rowOff>
    </xdr:from>
    <xdr:to>
      <xdr:col>20</xdr:col>
      <xdr:colOff>600075</xdr:colOff>
      <xdr:row>31</xdr:row>
      <xdr:rowOff>180975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058400" y="4972050"/>
          <a:ext cx="4267200" cy="1114425"/>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 explanation:</a:t>
          </a:r>
          <a:r>
            <a:rPr lang="en-US" sz="1100" baseline="0"/>
            <a:t> With the alternative contract, NOI decreases by $1,020.00, The operating leverage factor increases by 0.6 and the expected change in OP inc is 3%. I wouldnt reccomend this new contract but it would be managable.</a:t>
          </a:r>
          <a:endParaRPr lang="en-US" sz="1100"/>
        </a:p>
      </xdr:txBody>
    </xdr:sp>
    <xdr:clientData/>
  </xdr:twoCellAnchor>
  <xdr:twoCellAnchor>
    <xdr:from>
      <xdr:col>12</xdr:col>
      <xdr:colOff>200025</xdr:colOff>
      <xdr:row>4</xdr:row>
      <xdr:rowOff>66675</xdr:rowOff>
    </xdr:from>
    <xdr:to>
      <xdr:col>20</xdr:col>
      <xdr:colOff>95250</xdr:colOff>
      <xdr:row>7</xdr:row>
      <xdr:rowOff>142875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839200" y="828675"/>
          <a:ext cx="49815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EXCEL</a:t>
          </a:r>
          <a:r>
            <a:rPr lang="en-US" sz="1100" baseline="0"/>
            <a:t> HINT:   To copy a cell from a different worksheet, put a + in the cell where you want the number to go, and then go back to the original worksheet, put your cursor on the cell, and then press enter.</a:t>
          </a:r>
          <a:endParaRPr lang="en-US" sz="1100"/>
        </a:p>
      </xdr:txBody>
    </xdr:sp>
    <xdr:clientData/>
  </xdr:twoCellAnchor>
  <xdr:twoCellAnchor>
    <xdr:from>
      <xdr:col>11</xdr:col>
      <xdr:colOff>361950</xdr:colOff>
      <xdr:row>6</xdr:row>
      <xdr:rowOff>28575</xdr:rowOff>
    </xdr:from>
    <xdr:to>
      <xdr:col>12</xdr:col>
      <xdr:colOff>123825</xdr:colOff>
      <xdr:row>7</xdr:row>
      <xdr:rowOff>171450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H="1">
          <a:off x="8229600" y="1171575"/>
          <a:ext cx="533400" cy="333375"/>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190500</xdr:colOff>
      <xdr:row>0</xdr:row>
      <xdr:rowOff>152401</xdr:rowOff>
    </xdr:from>
    <xdr:to>
      <xdr:col>13</xdr:col>
      <xdr:colOff>485775</xdr:colOff>
      <xdr:row>4</xdr:row>
      <xdr:rowOff>19051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067300" y="152401"/>
          <a:ext cx="48768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EXCEL</a:t>
          </a:r>
          <a:r>
            <a:rPr lang="en-US" sz="1100" baseline="0"/>
            <a:t> HINT:   To copy an entire worksheet, right click on the worksheet tab at the bottom of the screen and choose "Move or Copy".  Then check the "create a copy" box.  Once you have the copy, choose "rename".</a:t>
          </a:r>
          <a:endParaRPr lang="en-US" sz="1100"/>
        </a:p>
      </xdr:txBody>
    </xdr:sp>
    <xdr:clientData/>
  </xdr:twoCellAnchor>
  <xdr:twoCellAnchor>
    <xdr:from>
      <xdr:col>7</xdr:col>
      <xdr:colOff>581025</xdr:colOff>
      <xdr:row>4</xdr:row>
      <xdr:rowOff>85725</xdr:rowOff>
    </xdr:from>
    <xdr:to>
      <xdr:col>9</xdr:col>
      <xdr:colOff>457201</xdr:colOff>
      <xdr:row>8</xdr:row>
      <xdr:rowOff>66675</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flipH="1">
          <a:off x="4848225" y="847725"/>
          <a:ext cx="1095376" cy="742950"/>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5"/>
  <sheetViews>
    <sheetView tabSelected="1" zoomScaleNormal="100" workbookViewId="0"/>
  </sheetViews>
  <sheetFormatPr baseColWidth="10" defaultColWidth="8.83203125" defaultRowHeight="15" x14ac:dyDescent="0.2"/>
  <cols>
    <col min="1" max="1" width="3.33203125" customWidth="1"/>
    <col min="2" max="2" width="30.33203125" customWidth="1"/>
    <col min="3" max="3" width="13.83203125" customWidth="1"/>
    <col min="4" max="4" width="7" customWidth="1"/>
    <col min="5" max="5" width="22.6640625" customWidth="1"/>
    <col min="6" max="6" width="22" customWidth="1"/>
    <col min="7" max="7" width="6.6640625" customWidth="1"/>
    <col min="8" max="8" width="40" customWidth="1"/>
    <col min="9" max="9" width="13.33203125" customWidth="1"/>
    <col min="10" max="10" width="14.33203125" customWidth="1"/>
    <col min="11" max="11" width="16" customWidth="1"/>
    <col min="12" max="12" width="12.33203125" customWidth="1"/>
  </cols>
  <sheetData>
    <row r="1" spans="2:11" ht="16" thickBot="1" x14ac:dyDescent="0.25"/>
    <row r="2" spans="2:11" ht="16" thickBot="1" x14ac:dyDescent="0.25">
      <c r="B2" s="94" t="s">
        <v>0</v>
      </c>
      <c r="C2" s="95"/>
      <c r="D2" s="1"/>
      <c r="E2" s="26" t="s">
        <v>4</v>
      </c>
      <c r="F2" s="27" t="s">
        <v>55</v>
      </c>
      <c r="H2" s="96" t="s">
        <v>58</v>
      </c>
      <c r="I2" s="97"/>
      <c r="J2" s="97"/>
      <c r="K2" s="98"/>
    </row>
    <row r="3" spans="2:11" x14ac:dyDescent="0.2">
      <c r="B3" s="24" t="s">
        <v>2</v>
      </c>
      <c r="C3" s="31" t="s">
        <v>55</v>
      </c>
      <c r="E3" s="5" t="s">
        <v>14</v>
      </c>
      <c r="F3" s="48">
        <f>C4-C9</f>
        <v>7</v>
      </c>
      <c r="H3" s="99" t="s">
        <v>25</v>
      </c>
      <c r="I3" s="100"/>
      <c r="J3" s="100"/>
      <c r="K3" s="101"/>
    </row>
    <row r="4" spans="2:11" x14ac:dyDescent="0.2">
      <c r="B4" s="8" t="s">
        <v>1</v>
      </c>
      <c r="C4" s="65">
        <v>16</v>
      </c>
      <c r="D4" s="2"/>
      <c r="E4" s="5" t="s">
        <v>9</v>
      </c>
      <c r="F4" s="69">
        <f>F3/C4</f>
        <v>0.4375</v>
      </c>
      <c r="H4" s="99" t="s">
        <v>7</v>
      </c>
      <c r="I4" s="100"/>
      <c r="J4" s="100"/>
      <c r="K4" s="101"/>
    </row>
    <row r="5" spans="2:11" x14ac:dyDescent="0.2">
      <c r="B5" s="90" t="s">
        <v>15</v>
      </c>
      <c r="C5" s="91"/>
      <c r="D5" s="2"/>
      <c r="E5" s="104" t="s">
        <v>13</v>
      </c>
      <c r="F5" s="105"/>
      <c r="H5" s="102"/>
      <c r="I5" s="103"/>
      <c r="J5" s="22"/>
      <c r="K5" s="23"/>
    </row>
    <row r="6" spans="2:11" x14ac:dyDescent="0.2">
      <c r="B6" s="15" t="s">
        <v>68</v>
      </c>
      <c r="C6" s="65">
        <v>4</v>
      </c>
      <c r="E6" s="6" t="s">
        <v>10</v>
      </c>
      <c r="F6" s="70">
        <f>C26/F3</f>
        <v>400</v>
      </c>
      <c r="H6" s="4"/>
      <c r="I6" s="28" t="s">
        <v>4</v>
      </c>
      <c r="J6" s="28" t="s">
        <v>5</v>
      </c>
      <c r="K6" s="29" t="s">
        <v>8</v>
      </c>
    </row>
    <row r="7" spans="2:11" x14ac:dyDescent="0.2">
      <c r="B7" s="15" t="s">
        <v>65</v>
      </c>
      <c r="C7" s="65">
        <v>3.4</v>
      </c>
      <c r="E7" s="6" t="s">
        <v>69</v>
      </c>
      <c r="F7" s="16">
        <f>C26/F4</f>
        <v>6400</v>
      </c>
      <c r="H7" s="3" t="s">
        <v>60</v>
      </c>
      <c r="I7" s="73">
        <f>C4*C11</f>
        <v>9600</v>
      </c>
      <c r="J7" s="73">
        <f>C14*C21</f>
        <v>14000</v>
      </c>
      <c r="K7" s="76">
        <f>SUM(I7:J7)</f>
        <v>23600</v>
      </c>
    </row>
    <row r="8" spans="2:11" x14ac:dyDescent="0.2">
      <c r="B8" s="15" t="s">
        <v>70</v>
      </c>
      <c r="C8" s="65">
        <f>C4*0.1</f>
        <v>1.6</v>
      </c>
      <c r="E8" s="49"/>
      <c r="F8" s="50"/>
      <c r="H8" s="3" t="s">
        <v>61</v>
      </c>
      <c r="I8" s="73">
        <f>C9*C11</f>
        <v>5400</v>
      </c>
      <c r="J8" s="73">
        <f>C19*C21</f>
        <v>10000</v>
      </c>
      <c r="K8" s="76">
        <f t="shared" ref="K8" si="0">SUM(I8:J8)</f>
        <v>15400</v>
      </c>
    </row>
    <row r="9" spans="2:11" x14ac:dyDescent="0.2">
      <c r="B9" s="8" t="s">
        <v>16</v>
      </c>
      <c r="C9" s="65">
        <f>SUM(C6:C8)</f>
        <v>9</v>
      </c>
      <c r="E9" s="106" t="s">
        <v>12</v>
      </c>
      <c r="F9" s="107"/>
      <c r="H9" s="3" t="s">
        <v>62</v>
      </c>
      <c r="I9" s="78">
        <f>I7-I8</f>
        <v>4200</v>
      </c>
      <c r="J9" s="78">
        <f>J7-J8</f>
        <v>4000</v>
      </c>
      <c r="K9" s="76">
        <f>K7-K8</f>
        <v>8200</v>
      </c>
    </row>
    <row r="10" spans="2:11" x14ac:dyDescent="0.2">
      <c r="B10" s="8"/>
      <c r="C10" s="21"/>
      <c r="E10" s="6" t="s">
        <v>10</v>
      </c>
      <c r="F10" s="71">
        <f>(C28+C26)/F3</f>
        <v>1542.8571428571429</v>
      </c>
      <c r="H10" s="51" t="s">
        <v>63</v>
      </c>
      <c r="I10" s="74"/>
      <c r="J10" s="52"/>
      <c r="K10" s="77">
        <f>C26</f>
        <v>2800</v>
      </c>
    </row>
    <row r="11" spans="2:11" ht="16" thickBot="1" x14ac:dyDescent="0.25">
      <c r="B11" s="8" t="s">
        <v>6</v>
      </c>
      <c r="C11" s="68">
        <v>600</v>
      </c>
      <c r="E11" s="7" t="s">
        <v>11</v>
      </c>
      <c r="F11" s="18">
        <f>(C28+C26)/F4</f>
        <v>24685.714285714286</v>
      </c>
      <c r="H11" s="51" t="s">
        <v>64</v>
      </c>
      <c r="I11" s="75"/>
      <c r="J11" s="53"/>
      <c r="K11" s="77">
        <f>K9-K10</f>
        <v>5400</v>
      </c>
    </row>
    <row r="12" spans="2:11" x14ac:dyDescent="0.2">
      <c r="B12" s="8"/>
      <c r="C12" s="21"/>
      <c r="H12" s="56"/>
      <c r="I12" s="54"/>
      <c r="J12" s="54"/>
      <c r="K12" s="55"/>
    </row>
    <row r="13" spans="2:11" ht="16" thickBot="1" x14ac:dyDescent="0.25">
      <c r="B13" s="25" t="s">
        <v>3</v>
      </c>
      <c r="C13" s="32" t="s">
        <v>56</v>
      </c>
      <c r="H13" s="3" t="s">
        <v>71</v>
      </c>
      <c r="I13" s="87">
        <f>K9/K7</f>
        <v>0.34745762711864409</v>
      </c>
      <c r="J13" s="88"/>
      <c r="K13" s="89"/>
    </row>
    <row r="14" spans="2:11" ht="16" thickBot="1" x14ac:dyDescent="0.25">
      <c r="B14" s="8" t="s">
        <v>1</v>
      </c>
      <c r="C14" s="65">
        <v>35</v>
      </c>
      <c r="E14" s="26" t="s">
        <v>5</v>
      </c>
      <c r="F14" s="30" t="s">
        <v>56</v>
      </c>
      <c r="H14" s="57"/>
      <c r="I14" s="58"/>
      <c r="J14" s="58"/>
      <c r="K14" s="59"/>
    </row>
    <row r="15" spans="2:11" ht="16" thickBot="1" x14ac:dyDescent="0.25">
      <c r="B15" s="90" t="s">
        <v>15</v>
      </c>
      <c r="C15" s="91"/>
      <c r="D15" s="2"/>
      <c r="E15" s="5" t="s">
        <v>14</v>
      </c>
      <c r="F15" s="16">
        <f>C14-C19</f>
        <v>10</v>
      </c>
    </row>
    <row r="16" spans="2:11" x14ac:dyDescent="0.2">
      <c r="B16" s="15" t="s">
        <v>68</v>
      </c>
      <c r="C16" s="65">
        <v>12</v>
      </c>
      <c r="D16" s="2"/>
      <c r="E16" s="5" t="s">
        <v>9</v>
      </c>
      <c r="F16" s="72">
        <f>F15/C14</f>
        <v>0.2857142857142857</v>
      </c>
      <c r="H16" s="92" t="s">
        <v>76</v>
      </c>
      <c r="I16" s="93"/>
    </row>
    <row r="17" spans="2:11" ht="16" thickBot="1" x14ac:dyDescent="0.25">
      <c r="B17" s="15" t="s">
        <v>65</v>
      </c>
      <c r="C17" s="65">
        <v>9.5</v>
      </c>
      <c r="E17" s="104" t="s">
        <v>13</v>
      </c>
      <c r="F17" s="105"/>
      <c r="H17" s="64" t="s">
        <v>77</v>
      </c>
      <c r="I17" s="83">
        <f>K9/(C11+C21)</f>
        <v>8.1999999999999993</v>
      </c>
    </row>
    <row r="18" spans="2:11" ht="16" thickBot="1" x14ac:dyDescent="0.25">
      <c r="B18" s="15" t="s">
        <v>70</v>
      </c>
      <c r="C18" s="65">
        <f>C14*0.1</f>
        <v>3.5</v>
      </c>
      <c r="E18" s="6" t="s">
        <v>10</v>
      </c>
      <c r="F18" s="70">
        <f>C26/F15</f>
        <v>280</v>
      </c>
    </row>
    <row r="19" spans="2:11" x14ac:dyDescent="0.2">
      <c r="B19" s="8" t="s">
        <v>16</v>
      </c>
      <c r="C19" s="65">
        <f>SUM(C16:C18)</f>
        <v>25</v>
      </c>
      <c r="E19" s="6" t="s">
        <v>69</v>
      </c>
      <c r="F19" s="16">
        <f>C26/F16</f>
        <v>9800</v>
      </c>
      <c r="H19" s="19" t="s">
        <v>26</v>
      </c>
      <c r="I19" s="61" t="s">
        <v>72</v>
      </c>
      <c r="J19" s="60" t="s">
        <v>73</v>
      </c>
      <c r="K19" s="62" t="s">
        <v>74</v>
      </c>
    </row>
    <row r="20" spans="2:11" x14ac:dyDescent="0.2">
      <c r="B20" s="8"/>
      <c r="C20" s="21"/>
      <c r="D20" s="2"/>
      <c r="E20" s="49"/>
      <c r="F20" s="50"/>
      <c r="H20" s="20" t="s">
        <v>4</v>
      </c>
      <c r="I20" s="79">
        <f>C11/(C11+C21)</f>
        <v>0.6</v>
      </c>
      <c r="J20" s="85">
        <f>(C26/I17)*I20</f>
        <v>204.87804878048783</v>
      </c>
      <c r="K20" s="84">
        <f>C26/I13*I20</f>
        <v>4835.1219512195121</v>
      </c>
    </row>
    <row r="21" spans="2:11" x14ac:dyDescent="0.2">
      <c r="B21" s="8" t="s">
        <v>6</v>
      </c>
      <c r="C21" s="68">
        <v>400</v>
      </c>
      <c r="D21" s="2"/>
      <c r="E21" s="106" t="s">
        <v>12</v>
      </c>
      <c r="F21" s="107"/>
      <c r="H21" s="20" t="s">
        <v>5</v>
      </c>
      <c r="I21" s="79">
        <f>C21/(C11+C21)</f>
        <v>0.4</v>
      </c>
      <c r="J21" s="85">
        <f>(C26/I17)*I21</f>
        <v>136.58536585365854</v>
      </c>
      <c r="K21" s="84">
        <f>C26/I13*I21</f>
        <v>3223.4146341463415</v>
      </c>
    </row>
    <row r="22" spans="2:11" ht="16" thickBot="1" x14ac:dyDescent="0.25">
      <c r="B22" s="8"/>
      <c r="C22" s="21"/>
      <c r="E22" s="6" t="s">
        <v>10</v>
      </c>
      <c r="F22" s="71">
        <f>(C28+C26)/F15</f>
        <v>1080</v>
      </c>
      <c r="H22" s="63" t="s">
        <v>8</v>
      </c>
      <c r="I22" s="80">
        <f>SUM(I20:I21)</f>
        <v>1</v>
      </c>
      <c r="J22" s="81">
        <f t="shared" ref="J22:K22" si="1">SUM(J20:J21)</f>
        <v>341.46341463414637</v>
      </c>
      <c r="K22" s="82">
        <f>SUM(K20:K21)</f>
        <v>8058.5365853658532</v>
      </c>
    </row>
    <row r="23" spans="2:11" ht="16" thickBot="1" x14ac:dyDescent="0.25">
      <c r="B23" s="90" t="s">
        <v>22</v>
      </c>
      <c r="C23" s="91"/>
      <c r="E23" s="7" t="s">
        <v>69</v>
      </c>
      <c r="F23" s="18">
        <f>(C28+C26)/F16</f>
        <v>37800</v>
      </c>
    </row>
    <row r="24" spans="2:11" x14ac:dyDescent="0.2">
      <c r="B24" s="15" t="s">
        <v>66</v>
      </c>
      <c r="C24" s="65">
        <v>2000</v>
      </c>
      <c r="E24" s="17"/>
      <c r="F24" s="2"/>
      <c r="H24" s="19" t="s">
        <v>28</v>
      </c>
      <c r="I24" s="61" t="s">
        <v>72</v>
      </c>
      <c r="J24" s="60" t="s">
        <v>73</v>
      </c>
      <c r="K24" s="62" t="s">
        <v>74</v>
      </c>
    </row>
    <row r="25" spans="2:11" x14ac:dyDescent="0.2">
      <c r="B25" s="15" t="s">
        <v>67</v>
      </c>
      <c r="C25" s="65">
        <v>800</v>
      </c>
      <c r="E25" s="17"/>
      <c r="F25" s="2"/>
      <c r="H25" s="20" t="s">
        <v>4</v>
      </c>
      <c r="I25" s="79">
        <f>C11/(C11+C21)</f>
        <v>0.6</v>
      </c>
      <c r="J25" s="86">
        <f>((C26+C28)/I17)*I25</f>
        <v>790.24390243902451</v>
      </c>
      <c r="K25" s="84">
        <f>((C26+C28)/I13)*I25</f>
        <v>18649.756097560974</v>
      </c>
    </row>
    <row r="26" spans="2:11" x14ac:dyDescent="0.2">
      <c r="B26" s="8" t="s">
        <v>23</v>
      </c>
      <c r="C26" s="66">
        <f>SUM(C24:C25)</f>
        <v>2800</v>
      </c>
      <c r="E26" s="17"/>
      <c r="F26" s="2"/>
      <c r="H26" s="20" t="s">
        <v>5</v>
      </c>
      <c r="I26" s="79">
        <f>C21/(C11+C21)</f>
        <v>0.4</v>
      </c>
      <c r="J26" s="86">
        <f>((C28+C26)/I17)*I26</f>
        <v>526.82926829268297</v>
      </c>
      <c r="K26" s="84">
        <f>((C28+C26)/I13)*I26</f>
        <v>12433.170731707316</v>
      </c>
    </row>
    <row r="27" spans="2:11" ht="16" thickBot="1" x14ac:dyDescent="0.25">
      <c r="B27" s="8"/>
      <c r="C27" s="21"/>
      <c r="E27" s="17"/>
      <c r="F27" s="2"/>
      <c r="H27" s="63" t="s">
        <v>8</v>
      </c>
      <c r="I27" s="80">
        <f>SUM(I25:I26)</f>
        <v>1</v>
      </c>
      <c r="J27" s="108">
        <f>SUM(J25:J26)</f>
        <v>1317.0731707317075</v>
      </c>
      <c r="K27" s="109">
        <f>SUM(K25:K26)</f>
        <v>31082.92682926829</v>
      </c>
    </row>
    <row r="28" spans="2:11" ht="16" thickBot="1" x14ac:dyDescent="0.25">
      <c r="B28" s="8" t="s">
        <v>17</v>
      </c>
      <c r="C28" s="65">
        <v>8000</v>
      </c>
      <c r="E28" s="17"/>
      <c r="F28" s="2"/>
    </row>
    <row r="29" spans="2:11" x14ac:dyDescent="0.2">
      <c r="B29" s="8"/>
      <c r="C29" s="21"/>
      <c r="H29" s="10" t="s">
        <v>18</v>
      </c>
      <c r="I29" s="110">
        <f>K7-K22</f>
        <v>15541.463414634147</v>
      </c>
    </row>
    <row r="30" spans="2:11" ht="16" thickBot="1" x14ac:dyDescent="0.25">
      <c r="B30" s="9" t="s">
        <v>21</v>
      </c>
      <c r="C30" s="67">
        <v>0.05</v>
      </c>
      <c r="H30" s="11"/>
      <c r="I30" s="12"/>
    </row>
    <row r="31" spans="2:11" x14ac:dyDescent="0.2">
      <c r="H31" s="11" t="s">
        <v>19</v>
      </c>
      <c r="I31" s="111">
        <f>I29/K7</f>
        <v>0.65853658536585369</v>
      </c>
    </row>
    <row r="32" spans="2:11" x14ac:dyDescent="0.2">
      <c r="H32" s="13"/>
      <c r="I32" s="12"/>
    </row>
    <row r="33" spans="8:9" x14ac:dyDescent="0.2">
      <c r="H33" s="11" t="s">
        <v>20</v>
      </c>
      <c r="I33" s="113">
        <f>K9/K11</f>
        <v>1.5185185185185186</v>
      </c>
    </row>
    <row r="34" spans="8:9" x14ac:dyDescent="0.2">
      <c r="H34" s="11"/>
      <c r="I34" s="12"/>
    </row>
    <row r="35" spans="8:9" ht="16" thickBot="1" x14ac:dyDescent="0.25">
      <c r="H35" s="14" t="s">
        <v>27</v>
      </c>
      <c r="I35" s="112">
        <f>I33*C30</f>
        <v>7.5925925925925938E-2</v>
      </c>
    </row>
  </sheetData>
  <mergeCells count="14">
    <mergeCell ref="B23:C23"/>
    <mergeCell ref="E5:F5"/>
    <mergeCell ref="E17:F17"/>
    <mergeCell ref="E9:F9"/>
    <mergeCell ref="E21:F21"/>
    <mergeCell ref="I13:K13"/>
    <mergeCell ref="B5:C5"/>
    <mergeCell ref="B15:C15"/>
    <mergeCell ref="H16:I16"/>
    <mergeCell ref="B2:C2"/>
    <mergeCell ref="H2:K2"/>
    <mergeCell ref="H3:K3"/>
    <mergeCell ref="H4:K4"/>
    <mergeCell ref="H5:I5"/>
  </mergeCells>
  <pageMargins left="0.25" right="0.25" top="0.75" bottom="0.75" header="0.3" footer="0.3"/>
  <pageSetup orientation="portrait" r:id="rId1"/>
  <headerFooter>
    <oddHeader xml:space="preserve">&amp;CCVP Model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9:M31"/>
  <sheetViews>
    <sheetView workbookViewId="0"/>
  </sheetViews>
  <sheetFormatPr baseColWidth="10" defaultColWidth="8.83203125" defaultRowHeight="15" x14ac:dyDescent="0.2"/>
  <cols>
    <col min="10" max="10" width="26.33203125" bestFit="1" customWidth="1"/>
    <col min="11" max="12" width="11.6640625" customWidth="1"/>
    <col min="13" max="13" width="12.33203125" customWidth="1"/>
  </cols>
  <sheetData>
    <row r="9" spans="10:13" x14ac:dyDescent="0.2">
      <c r="K9" s="34" t="s">
        <v>29</v>
      </c>
      <c r="L9" s="34" t="s">
        <v>31</v>
      </c>
      <c r="M9" s="34" t="s">
        <v>30</v>
      </c>
    </row>
    <row r="10" spans="10:13" x14ac:dyDescent="0.2">
      <c r="J10" t="s">
        <v>24</v>
      </c>
      <c r="K10" s="33">
        <f>+'Supplier Cost Increase'!K11</f>
        <v>3960</v>
      </c>
      <c r="L10" s="33">
        <f>+'Original Assumptions'!K11</f>
        <v>5400</v>
      </c>
      <c r="M10" s="33">
        <f>K10-L10</f>
        <v>-1440</v>
      </c>
    </row>
    <row r="12" spans="10:13" x14ac:dyDescent="0.2">
      <c r="J12" t="s">
        <v>71</v>
      </c>
      <c r="K12" s="35">
        <f>+'Supplier Cost Increase'!K13</f>
        <v>0.28644067796610168</v>
      </c>
      <c r="L12" s="35">
        <f>+'Original Assumptions'!I13</f>
        <v>0.34745762711864409</v>
      </c>
      <c r="M12" s="38">
        <f>K12-L12</f>
        <v>-6.101694915254241E-2</v>
      </c>
    </row>
    <row r="13" spans="10:13" x14ac:dyDescent="0.2">
      <c r="M13" s="39"/>
    </row>
    <row r="14" spans="10:13" x14ac:dyDescent="0.2">
      <c r="J14" t="s">
        <v>19</v>
      </c>
      <c r="K14" s="35">
        <f>+'Supplier Cost Increase'!I31</f>
        <v>0.58579881656804733</v>
      </c>
      <c r="L14" s="35">
        <f>+'Original Assumptions'!I31</f>
        <v>0.65853658536585369</v>
      </c>
      <c r="M14" s="38">
        <f>K14-L14</f>
        <v>-7.2737768797806357E-2</v>
      </c>
    </row>
    <row r="18" spans="10:13" x14ac:dyDescent="0.2">
      <c r="J18" t="s">
        <v>24</v>
      </c>
      <c r="K18" s="36">
        <f>+'New Sales Mix'!K11</f>
        <v>6300</v>
      </c>
      <c r="L18" s="36">
        <f>+'Original Assumptions'!K11</f>
        <v>5400</v>
      </c>
      <c r="M18" s="36">
        <f>K18-L18</f>
        <v>900</v>
      </c>
    </row>
    <row r="20" spans="10:13" x14ac:dyDescent="0.2">
      <c r="J20" t="s">
        <v>75</v>
      </c>
      <c r="K20" s="36">
        <f>+'New Sales Mix'!I17</f>
        <v>9.1</v>
      </c>
      <c r="L20" s="36">
        <f>+'Original Assumptions'!I17</f>
        <v>8.1999999999999993</v>
      </c>
      <c r="M20" s="36">
        <f>K20-L20</f>
        <v>0.90000000000000036</v>
      </c>
    </row>
    <row r="22" spans="10:13" x14ac:dyDescent="0.2">
      <c r="J22" t="s">
        <v>32</v>
      </c>
      <c r="K22" s="123">
        <f>+'New Sales Mix'!J27</f>
        <v>1186.8131868131868</v>
      </c>
      <c r="L22" s="123">
        <f>+'Original Assumptions'!J27</f>
        <v>1317.0731707317075</v>
      </c>
      <c r="M22" s="123">
        <f>K22-L22</f>
        <v>-130.25998391852067</v>
      </c>
    </row>
    <row r="27" spans="10:13" x14ac:dyDescent="0.2">
      <c r="J27" t="s">
        <v>24</v>
      </c>
      <c r="K27" s="37">
        <f>+'Alternative Contract'!K11</f>
        <v>4380</v>
      </c>
      <c r="L27" s="37">
        <f>+'Original Assumptions'!K11</f>
        <v>5400</v>
      </c>
      <c r="M27" s="37">
        <f>K27-L27</f>
        <v>-1020</v>
      </c>
    </row>
    <row r="29" spans="10:13" x14ac:dyDescent="0.2">
      <c r="J29" t="s">
        <v>33</v>
      </c>
      <c r="K29" s="122">
        <f>+'Alternative Contract'!I33</f>
        <v>2.1415525114155249</v>
      </c>
      <c r="L29" s="122">
        <f>+'Original Assumptions'!I33</f>
        <v>1.5185185185185186</v>
      </c>
      <c r="M29" s="122">
        <f>K29-L29</f>
        <v>0.62303399289700634</v>
      </c>
    </row>
    <row r="31" spans="10:13" x14ac:dyDescent="0.2">
      <c r="J31" t="s">
        <v>34</v>
      </c>
      <c r="K31" s="114">
        <f>+'Alternative Contract'!I35</f>
        <v>0.10707762557077626</v>
      </c>
      <c r="L31" s="114">
        <f>+'Original Assumptions'!I35</f>
        <v>7.5925925925925938E-2</v>
      </c>
      <c r="M31" s="121">
        <f>K31-L31</f>
        <v>3.1151699644850317E-2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35B2-E24F-6848-AB84-FD2922F66AD1}">
  <dimension ref="B1:K35"/>
  <sheetViews>
    <sheetView zoomScaleNormal="100" workbookViewId="0"/>
  </sheetViews>
  <sheetFormatPr baseColWidth="10" defaultColWidth="8.83203125" defaultRowHeight="15" x14ac:dyDescent="0.2"/>
  <cols>
    <col min="1" max="1" width="3.33203125" customWidth="1"/>
    <col min="2" max="2" width="30.33203125" customWidth="1"/>
    <col min="3" max="3" width="13.83203125" customWidth="1"/>
    <col min="4" max="4" width="7" customWidth="1"/>
    <col min="5" max="5" width="22.6640625" customWidth="1"/>
    <col min="6" max="6" width="22" customWidth="1"/>
    <col min="7" max="7" width="6.6640625" customWidth="1"/>
    <col min="8" max="8" width="40" customWidth="1"/>
    <col min="9" max="9" width="13.33203125" customWidth="1"/>
    <col min="10" max="10" width="14.33203125" customWidth="1"/>
    <col min="11" max="11" width="16" customWidth="1"/>
    <col min="12" max="12" width="12.33203125" customWidth="1"/>
  </cols>
  <sheetData>
    <row r="1" spans="2:11" ht="16" thickBot="1" x14ac:dyDescent="0.25"/>
    <row r="2" spans="2:11" ht="16" thickBot="1" x14ac:dyDescent="0.25">
      <c r="B2" s="94" t="s">
        <v>0</v>
      </c>
      <c r="C2" s="95"/>
      <c r="D2" s="1"/>
      <c r="E2" s="26" t="s">
        <v>4</v>
      </c>
      <c r="F2" s="27" t="s">
        <v>55</v>
      </c>
      <c r="H2" s="96" t="s">
        <v>58</v>
      </c>
      <c r="I2" s="97"/>
      <c r="J2" s="97"/>
      <c r="K2" s="98"/>
    </row>
    <row r="3" spans="2:11" x14ac:dyDescent="0.2">
      <c r="B3" s="24" t="s">
        <v>2</v>
      </c>
      <c r="C3" s="31" t="s">
        <v>55</v>
      </c>
      <c r="E3" s="5" t="s">
        <v>14</v>
      </c>
      <c r="F3" s="48">
        <f>C4-C9</f>
        <v>6.2000000000000011</v>
      </c>
      <c r="H3" s="99" t="s">
        <v>25</v>
      </c>
      <c r="I3" s="118"/>
      <c r="J3" s="118"/>
      <c r="K3" s="101"/>
    </row>
    <row r="4" spans="2:11" x14ac:dyDescent="0.2">
      <c r="B4" s="8" t="s">
        <v>1</v>
      </c>
      <c r="C4" s="65">
        <v>16</v>
      </c>
      <c r="D4" s="2"/>
      <c r="E4" s="5" t="s">
        <v>9</v>
      </c>
      <c r="F4" s="69">
        <f>F3/C4</f>
        <v>0.38750000000000007</v>
      </c>
      <c r="H4" s="99" t="s">
        <v>7</v>
      </c>
      <c r="I4" s="118"/>
      <c r="J4" s="118"/>
      <c r="K4" s="101"/>
    </row>
    <row r="5" spans="2:11" x14ac:dyDescent="0.2">
      <c r="B5" s="90" t="s">
        <v>15</v>
      </c>
      <c r="C5" s="91"/>
      <c r="D5" s="2"/>
      <c r="E5" s="104" t="s">
        <v>13</v>
      </c>
      <c r="F5" s="105"/>
      <c r="H5" s="102"/>
      <c r="I5" s="103"/>
      <c r="J5" s="22"/>
      <c r="K5" s="23"/>
    </row>
    <row r="6" spans="2:11" x14ac:dyDescent="0.2">
      <c r="B6" s="15" t="s">
        <v>68</v>
      </c>
      <c r="C6" s="65">
        <f>4*1.2</f>
        <v>4.8</v>
      </c>
      <c r="E6" s="6" t="s">
        <v>10</v>
      </c>
      <c r="F6" s="115">
        <f>C26/F3</f>
        <v>451.61290322580635</v>
      </c>
      <c r="H6" s="4"/>
      <c r="I6" s="28" t="s">
        <v>4</v>
      </c>
      <c r="J6" s="28" t="s">
        <v>5</v>
      </c>
      <c r="K6" s="29" t="s">
        <v>8</v>
      </c>
    </row>
    <row r="7" spans="2:11" x14ac:dyDescent="0.2">
      <c r="B7" s="15" t="s">
        <v>65</v>
      </c>
      <c r="C7" s="65">
        <v>3.4</v>
      </c>
      <c r="E7" s="6" t="s">
        <v>69</v>
      </c>
      <c r="F7" s="16">
        <f>C26/F4</f>
        <v>7225.8064516129016</v>
      </c>
      <c r="H7" s="3" t="s">
        <v>60</v>
      </c>
      <c r="I7" s="73">
        <f>C4*C11</f>
        <v>9600</v>
      </c>
      <c r="J7" s="73">
        <f>C14*C21</f>
        <v>14000</v>
      </c>
      <c r="K7" s="76">
        <f>SUM(I7:J7)</f>
        <v>23600</v>
      </c>
    </row>
    <row r="8" spans="2:11" x14ac:dyDescent="0.2">
      <c r="B8" s="15" t="s">
        <v>70</v>
      </c>
      <c r="C8" s="65">
        <f>C4*0.1</f>
        <v>1.6</v>
      </c>
      <c r="E8" s="49"/>
      <c r="F8" s="50"/>
      <c r="H8" s="3" t="s">
        <v>61</v>
      </c>
      <c r="I8" s="73">
        <f>C9*C11</f>
        <v>5879.9999999999991</v>
      </c>
      <c r="J8" s="73">
        <f>C19*C21</f>
        <v>10960</v>
      </c>
      <c r="K8" s="76">
        <f t="shared" ref="K8" si="0">SUM(I8:J8)</f>
        <v>16840</v>
      </c>
    </row>
    <row r="9" spans="2:11" x14ac:dyDescent="0.2">
      <c r="B9" s="8" t="s">
        <v>16</v>
      </c>
      <c r="C9" s="65">
        <f>SUM(C6:C8)</f>
        <v>9.7999999999999989</v>
      </c>
      <c r="E9" s="106" t="s">
        <v>12</v>
      </c>
      <c r="F9" s="107"/>
      <c r="H9" s="3" t="s">
        <v>62</v>
      </c>
      <c r="I9" s="78">
        <f>I7-I8</f>
        <v>3720.0000000000009</v>
      </c>
      <c r="J9" s="78">
        <f>J7-J8</f>
        <v>3040</v>
      </c>
      <c r="K9" s="76">
        <f>K7-K8</f>
        <v>6760</v>
      </c>
    </row>
    <row r="10" spans="2:11" x14ac:dyDescent="0.2">
      <c r="B10" s="8"/>
      <c r="C10" s="21"/>
      <c r="E10" s="6" t="s">
        <v>10</v>
      </c>
      <c r="F10" s="71">
        <f>(C28+C26)/F3</f>
        <v>1741.9354838709673</v>
      </c>
      <c r="H10" s="51" t="s">
        <v>63</v>
      </c>
      <c r="I10" s="74"/>
      <c r="J10" s="52"/>
      <c r="K10" s="77">
        <f>C26</f>
        <v>2800</v>
      </c>
    </row>
    <row r="11" spans="2:11" ht="16" thickBot="1" x14ac:dyDescent="0.25">
      <c r="B11" s="8" t="s">
        <v>6</v>
      </c>
      <c r="C11" s="68">
        <v>600</v>
      </c>
      <c r="E11" s="7" t="s">
        <v>11</v>
      </c>
      <c r="F11" s="18">
        <f>(C28+C26)/F4</f>
        <v>27870.967741935478</v>
      </c>
      <c r="H11" s="51" t="s">
        <v>64</v>
      </c>
      <c r="I11" s="75"/>
      <c r="J11" s="53"/>
      <c r="K11" s="77">
        <f>K9-K10</f>
        <v>3960</v>
      </c>
    </row>
    <row r="12" spans="2:11" x14ac:dyDescent="0.2">
      <c r="B12" s="8"/>
      <c r="C12" s="21"/>
      <c r="H12" s="56"/>
      <c r="I12" s="54"/>
      <c r="J12" s="54"/>
      <c r="K12" s="55"/>
    </row>
    <row r="13" spans="2:11" ht="16" thickBot="1" x14ac:dyDescent="0.25">
      <c r="B13" s="25" t="s">
        <v>3</v>
      </c>
      <c r="C13" s="32" t="s">
        <v>56</v>
      </c>
      <c r="H13" s="3" t="s">
        <v>71</v>
      </c>
      <c r="I13" s="119"/>
      <c r="J13" s="117"/>
      <c r="K13" s="120">
        <f>K9/K7</f>
        <v>0.28644067796610168</v>
      </c>
    </row>
    <row r="14" spans="2:11" ht="16" thickBot="1" x14ac:dyDescent="0.25">
      <c r="B14" s="8" t="s">
        <v>1</v>
      </c>
      <c r="C14" s="65">
        <v>35</v>
      </c>
      <c r="E14" s="26" t="s">
        <v>5</v>
      </c>
      <c r="F14" s="30" t="s">
        <v>56</v>
      </c>
      <c r="H14" s="57"/>
      <c r="I14" s="58"/>
      <c r="J14" s="58"/>
      <c r="K14" s="59"/>
    </row>
    <row r="15" spans="2:11" ht="16" thickBot="1" x14ac:dyDescent="0.25">
      <c r="B15" s="90" t="s">
        <v>15</v>
      </c>
      <c r="C15" s="91"/>
      <c r="D15" s="2"/>
      <c r="E15" s="5" t="s">
        <v>14</v>
      </c>
      <c r="F15" s="16">
        <f>C14-C19</f>
        <v>7.6000000000000014</v>
      </c>
    </row>
    <row r="16" spans="2:11" x14ac:dyDescent="0.2">
      <c r="B16" s="15" t="s">
        <v>68</v>
      </c>
      <c r="C16" s="65">
        <f>12*1.2</f>
        <v>14.399999999999999</v>
      </c>
      <c r="D16" s="2"/>
      <c r="E16" s="5" t="s">
        <v>9</v>
      </c>
      <c r="F16" s="72">
        <f>F15/C14</f>
        <v>0.21714285714285719</v>
      </c>
      <c r="H16" s="92" t="s">
        <v>76</v>
      </c>
      <c r="I16" s="93"/>
    </row>
    <row r="17" spans="2:11" ht="16" thickBot="1" x14ac:dyDescent="0.25">
      <c r="B17" s="15" t="s">
        <v>65</v>
      </c>
      <c r="C17" s="65">
        <v>9.5</v>
      </c>
      <c r="E17" s="104" t="s">
        <v>13</v>
      </c>
      <c r="F17" s="105"/>
      <c r="H17" s="64" t="s">
        <v>77</v>
      </c>
      <c r="I17" s="83">
        <f>K9/(C11+C21)</f>
        <v>6.76</v>
      </c>
    </row>
    <row r="18" spans="2:11" ht="16" thickBot="1" x14ac:dyDescent="0.25">
      <c r="B18" s="15" t="s">
        <v>70</v>
      </c>
      <c r="C18" s="65">
        <f>C14*0.1</f>
        <v>3.5</v>
      </c>
      <c r="E18" s="6" t="s">
        <v>10</v>
      </c>
      <c r="F18" s="115">
        <f>C26/F15</f>
        <v>368.4210526315789</v>
      </c>
    </row>
    <row r="19" spans="2:11" x14ac:dyDescent="0.2">
      <c r="B19" s="8" t="s">
        <v>16</v>
      </c>
      <c r="C19" s="65">
        <f>SUM(C16:C18)</f>
        <v>27.4</v>
      </c>
      <c r="E19" s="6" t="s">
        <v>69</v>
      </c>
      <c r="F19" s="16">
        <f>C26/F16</f>
        <v>12894.73684210526</v>
      </c>
      <c r="H19" s="19" t="s">
        <v>26</v>
      </c>
      <c r="I19" s="61" t="s">
        <v>72</v>
      </c>
      <c r="J19" s="60" t="s">
        <v>73</v>
      </c>
      <c r="K19" s="62" t="s">
        <v>74</v>
      </c>
    </row>
    <row r="20" spans="2:11" x14ac:dyDescent="0.2">
      <c r="B20" s="8"/>
      <c r="C20" s="21"/>
      <c r="D20" s="2"/>
      <c r="E20" s="49"/>
      <c r="F20" s="50"/>
      <c r="H20" s="20" t="s">
        <v>4</v>
      </c>
      <c r="I20" s="79">
        <f>C11/(C11+C21)</f>
        <v>0.6</v>
      </c>
      <c r="J20" s="85">
        <f>(C26/I17)*I20</f>
        <v>248.52071005917162</v>
      </c>
      <c r="K20" s="84">
        <f>C26/K13*I20</f>
        <v>5865.0887573964501</v>
      </c>
    </row>
    <row r="21" spans="2:11" x14ac:dyDescent="0.2">
      <c r="B21" s="8" t="s">
        <v>6</v>
      </c>
      <c r="C21" s="68">
        <v>400</v>
      </c>
      <c r="D21" s="2"/>
      <c r="E21" s="106" t="s">
        <v>12</v>
      </c>
      <c r="F21" s="107"/>
      <c r="H21" s="20" t="s">
        <v>5</v>
      </c>
      <c r="I21" s="79">
        <f>C21/(C11+C21)</f>
        <v>0.4</v>
      </c>
      <c r="J21" s="85">
        <f>(C26/I17)*I21</f>
        <v>165.68047337278108</v>
      </c>
      <c r="K21" s="84">
        <f>C26/K13*I21</f>
        <v>3910.0591715976334</v>
      </c>
    </row>
    <row r="22" spans="2:11" ht="16" thickBot="1" x14ac:dyDescent="0.25">
      <c r="B22" s="8"/>
      <c r="C22" s="21"/>
      <c r="E22" s="6" t="s">
        <v>10</v>
      </c>
      <c r="F22" s="71">
        <f>(C28+C26)/F15</f>
        <v>1421.0526315789471</v>
      </c>
      <c r="H22" s="63" t="s">
        <v>8</v>
      </c>
      <c r="I22" s="80">
        <f>SUM(I20:I21)</f>
        <v>1</v>
      </c>
      <c r="J22" s="116">
        <f t="shared" ref="J22:K22" si="1">SUM(J20:J21)</f>
        <v>414.2011834319527</v>
      </c>
      <c r="K22" s="82">
        <f>SUM(K20:K21)</f>
        <v>9775.1479289940835</v>
      </c>
    </row>
    <row r="23" spans="2:11" ht="16" thickBot="1" x14ac:dyDescent="0.25">
      <c r="B23" s="90" t="s">
        <v>22</v>
      </c>
      <c r="C23" s="91"/>
      <c r="E23" s="7" t="s">
        <v>69</v>
      </c>
      <c r="F23" s="18">
        <f>(C28+C26)/F16</f>
        <v>49736.842105263146</v>
      </c>
    </row>
    <row r="24" spans="2:11" x14ac:dyDescent="0.2">
      <c r="B24" s="15" t="s">
        <v>66</v>
      </c>
      <c r="C24" s="65">
        <v>2000</v>
      </c>
      <c r="E24" s="17"/>
      <c r="F24" s="2"/>
      <c r="H24" s="19" t="s">
        <v>28</v>
      </c>
      <c r="I24" s="61" t="s">
        <v>72</v>
      </c>
      <c r="J24" s="60" t="s">
        <v>73</v>
      </c>
      <c r="K24" s="62" t="s">
        <v>74</v>
      </c>
    </row>
    <row r="25" spans="2:11" x14ac:dyDescent="0.2">
      <c r="B25" s="15" t="s">
        <v>67</v>
      </c>
      <c r="C25" s="65">
        <v>800</v>
      </c>
      <c r="E25" s="17"/>
      <c r="F25" s="2"/>
      <c r="H25" s="20" t="s">
        <v>4</v>
      </c>
      <c r="I25" s="79">
        <f>C11/(C11+C21)</f>
        <v>0.6</v>
      </c>
      <c r="J25" s="86">
        <f>((C26+C28)/I17)*I25</f>
        <v>958.57988165680479</v>
      </c>
      <c r="K25" s="84">
        <f>((C26+C28)/K13)*I25</f>
        <v>22622.485207100592</v>
      </c>
    </row>
    <row r="26" spans="2:11" x14ac:dyDescent="0.2">
      <c r="B26" s="8" t="s">
        <v>23</v>
      </c>
      <c r="C26" s="66">
        <f>SUM(C24:C25)</f>
        <v>2800</v>
      </c>
      <c r="E26" s="17"/>
      <c r="F26" s="2"/>
      <c r="H26" s="20" t="s">
        <v>5</v>
      </c>
      <c r="I26" s="79">
        <f>C21/(C11+C21)</f>
        <v>0.4</v>
      </c>
      <c r="J26" s="86">
        <f>((C28+C26)/I17)*I26</f>
        <v>639.0532544378699</v>
      </c>
      <c r="K26" s="84">
        <f>((C28+C26)/K13)*I26</f>
        <v>15081.65680473373</v>
      </c>
    </row>
    <row r="27" spans="2:11" ht="16" thickBot="1" x14ac:dyDescent="0.25">
      <c r="B27" s="8"/>
      <c r="C27" s="21"/>
      <c r="E27" s="17"/>
      <c r="F27" s="2"/>
      <c r="H27" s="63" t="s">
        <v>8</v>
      </c>
      <c r="I27" s="80">
        <f>SUM(I25:I26)</f>
        <v>1</v>
      </c>
      <c r="J27" s="108">
        <f>SUM(J25:J26)</f>
        <v>1597.6331360946747</v>
      </c>
      <c r="K27" s="109">
        <f>SUM(K25:K26)</f>
        <v>37704.142011834323</v>
      </c>
    </row>
    <row r="28" spans="2:11" ht="16" thickBot="1" x14ac:dyDescent="0.25">
      <c r="B28" s="8" t="s">
        <v>17</v>
      </c>
      <c r="C28" s="65">
        <v>8000</v>
      </c>
      <c r="E28" s="17"/>
      <c r="F28" s="2"/>
    </row>
    <row r="29" spans="2:11" x14ac:dyDescent="0.2">
      <c r="B29" s="8"/>
      <c r="C29" s="21"/>
      <c r="H29" s="10" t="s">
        <v>18</v>
      </c>
      <c r="I29" s="110">
        <f>K7-K22</f>
        <v>13824.852071005917</v>
      </c>
    </row>
    <row r="30" spans="2:11" ht="16" thickBot="1" x14ac:dyDescent="0.25">
      <c r="B30" s="9" t="s">
        <v>21</v>
      </c>
      <c r="C30" s="67">
        <v>0.05</v>
      </c>
      <c r="H30" s="11"/>
      <c r="I30" s="12"/>
    </row>
    <row r="31" spans="2:11" x14ac:dyDescent="0.2">
      <c r="H31" s="11" t="s">
        <v>19</v>
      </c>
      <c r="I31" s="111">
        <f>I29/K7</f>
        <v>0.58579881656804733</v>
      </c>
    </row>
    <row r="32" spans="2:11" x14ac:dyDescent="0.2">
      <c r="H32" s="13"/>
      <c r="I32" s="12"/>
    </row>
    <row r="33" spans="8:9" x14ac:dyDescent="0.2">
      <c r="H33" s="11" t="s">
        <v>20</v>
      </c>
      <c r="I33" s="113">
        <f>K9/K11</f>
        <v>1.707070707070707</v>
      </c>
    </row>
    <row r="34" spans="8:9" x14ac:dyDescent="0.2">
      <c r="H34" s="11"/>
      <c r="I34" s="12"/>
    </row>
    <row r="35" spans="8:9" ht="16" thickBot="1" x14ac:dyDescent="0.25">
      <c r="H35" s="14" t="s">
        <v>27</v>
      </c>
      <c r="I35" s="112">
        <f>I33*C30</f>
        <v>8.5353535353535348E-2</v>
      </c>
    </row>
  </sheetData>
  <mergeCells count="13">
    <mergeCell ref="B23:C23"/>
    <mergeCell ref="E9:F9"/>
    <mergeCell ref="B15:C15"/>
    <mergeCell ref="H16:I16"/>
    <mergeCell ref="E17:F17"/>
    <mergeCell ref="E21:F21"/>
    <mergeCell ref="B2:C2"/>
    <mergeCell ref="H2:K2"/>
    <mergeCell ref="H3:K3"/>
    <mergeCell ref="H4:K4"/>
    <mergeCell ref="B5:C5"/>
    <mergeCell ref="E5:F5"/>
    <mergeCell ref="H5:I5"/>
  </mergeCells>
  <pageMargins left="0.25" right="0.25" top="0.75" bottom="0.75" header="0.3" footer="0.3"/>
  <pageSetup orientation="portrait" r:id="rId1"/>
  <headerFooter>
    <oddHeader xml:space="preserve">&amp;CCVP Model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6E12-558D-7E45-AE54-539C3AFFE167}">
  <dimension ref="B1:K35"/>
  <sheetViews>
    <sheetView zoomScaleNormal="100" workbookViewId="0"/>
  </sheetViews>
  <sheetFormatPr baseColWidth="10" defaultColWidth="8.83203125" defaultRowHeight="15" x14ac:dyDescent="0.2"/>
  <cols>
    <col min="1" max="1" width="3.33203125" customWidth="1"/>
    <col min="2" max="2" width="30.33203125" customWidth="1"/>
    <col min="3" max="3" width="13.83203125" customWidth="1"/>
    <col min="4" max="4" width="7" customWidth="1"/>
    <col min="5" max="5" width="22.6640625" customWidth="1"/>
    <col min="6" max="6" width="22" customWidth="1"/>
    <col min="7" max="7" width="6.6640625" customWidth="1"/>
    <col min="8" max="8" width="40" customWidth="1"/>
    <col min="9" max="9" width="13.33203125" customWidth="1"/>
    <col min="10" max="10" width="14.33203125" customWidth="1"/>
    <col min="11" max="11" width="16" customWidth="1"/>
    <col min="12" max="12" width="12.33203125" customWidth="1"/>
  </cols>
  <sheetData>
    <row r="1" spans="2:11" ht="16" thickBot="1" x14ac:dyDescent="0.25"/>
    <row r="2" spans="2:11" ht="16" thickBot="1" x14ac:dyDescent="0.25">
      <c r="B2" s="94" t="s">
        <v>0</v>
      </c>
      <c r="C2" s="95"/>
      <c r="D2" s="1"/>
      <c r="E2" s="26" t="s">
        <v>4</v>
      </c>
      <c r="F2" s="27" t="s">
        <v>55</v>
      </c>
      <c r="H2" s="96" t="s">
        <v>58</v>
      </c>
      <c r="I2" s="97"/>
      <c r="J2" s="97"/>
      <c r="K2" s="98"/>
    </row>
    <row r="3" spans="2:11" x14ac:dyDescent="0.2">
      <c r="B3" s="24" t="s">
        <v>2</v>
      </c>
      <c r="C3" s="31" t="s">
        <v>55</v>
      </c>
      <c r="E3" s="5" t="s">
        <v>14</v>
      </c>
      <c r="F3" s="48">
        <f>C4-C9</f>
        <v>7</v>
      </c>
      <c r="H3" s="99" t="s">
        <v>25</v>
      </c>
      <c r="I3" s="100"/>
      <c r="J3" s="100"/>
      <c r="K3" s="101"/>
    </row>
    <row r="4" spans="2:11" x14ac:dyDescent="0.2">
      <c r="B4" s="8" t="s">
        <v>1</v>
      </c>
      <c r="C4" s="65">
        <v>16</v>
      </c>
      <c r="D4" s="2"/>
      <c r="E4" s="5" t="s">
        <v>9</v>
      </c>
      <c r="F4" s="69">
        <f>F3/C4</f>
        <v>0.4375</v>
      </c>
      <c r="H4" s="99" t="s">
        <v>7</v>
      </c>
      <c r="I4" s="100"/>
      <c r="J4" s="100"/>
      <c r="K4" s="101"/>
    </row>
    <row r="5" spans="2:11" x14ac:dyDescent="0.2">
      <c r="B5" s="90" t="s">
        <v>15</v>
      </c>
      <c r="C5" s="91"/>
      <c r="D5" s="2"/>
      <c r="E5" s="104" t="s">
        <v>13</v>
      </c>
      <c r="F5" s="105"/>
      <c r="H5" s="102"/>
      <c r="I5" s="103"/>
      <c r="J5" s="22"/>
      <c r="K5" s="23"/>
    </row>
    <row r="6" spans="2:11" x14ac:dyDescent="0.2">
      <c r="B6" s="15" t="s">
        <v>68</v>
      </c>
      <c r="C6" s="65">
        <v>4</v>
      </c>
      <c r="E6" s="6" t="s">
        <v>10</v>
      </c>
      <c r="F6" s="70">
        <f>C26/F3</f>
        <v>400</v>
      </c>
      <c r="H6" s="4"/>
      <c r="I6" s="28" t="s">
        <v>4</v>
      </c>
      <c r="J6" s="28" t="s">
        <v>5</v>
      </c>
      <c r="K6" s="29" t="s">
        <v>8</v>
      </c>
    </row>
    <row r="7" spans="2:11" x14ac:dyDescent="0.2">
      <c r="B7" s="15" t="s">
        <v>65</v>
      </c>
      <c r="C7" s="65">
        <v>3.4</v>
      </c>
      <c r="E7" s="6" t="s">
        <v>69</v>
      </c>
      <c r="F7" s="16">
        <f>C26/F4</f>
        <v>6400</v>
      </c>
      <c r="H7" s="3" t="s">
        <v>60</v>
      </c>
      <c r="I7" s="73">
        <f>C4*C11</f>
        <v>4800</v>
      </c>
      <c r="J7" s="73">
        <f>C14*C21</f>
        <v>24500</v>
      </c>
      <c r="K7" s="76">
        <f>SUM(I7:J7)</f>
        <v>29300</v>
      </c>
    </row>
    <row r="8" spans="2:11" x14ac:dyDescent="0.2">
      <c r="B8" s="15" t="s">
        <v>70</v>
      </c>
      <c r="C8" s="65">
        <f>C4*0.1</f>
        <v>1.6</v>
      </c>
      <c r="E8" s="49"/>
      <c r="F8" s="50"/>
      <c r="H8" s="3" t="s">
        <v>61</v>
      </c>
      <c r="I8" s="73">
        <f>C9*C11</f>
        <v>2700</v>
      </c>
      <c r="J8" s="73">
        <f>C19*C21</f>
        <v>17500</v>
      </c>
      <c r="K8" s="76">
        <f t="shared" ref="K8" si="0">SUM(I8:J8)</f>
        <v>20200</v>
      </c>
    </row>
    <row r="9" spans="2:11" x14ac:dyDescent="0.2">
      <c r="B9" s="8" t="s">
        <v>16</v>
      </c>
      <c r="C9" s="65">
        <f>SUM(C6:C8)</f>
        <v>9</v>
      </c>
      <c r="E9" s="106" t="s">
        <v>12</v>
      </c>
      <c r="F9" s="107"/>
      <c r="H9" s="3" t="s">
        <v>62</v>
      </c>
      <c r="I9" s="78">
        <f>I7-I8</f>
        <v>2100</v>
      </c>
      <c r="J9" s="78">
        <f>J7-J8</f>
        <v>7000</v>
      </c>
      <c r="K9" s="76">
        <f>K7-K8</f>
        <v>9100</v>
      </c>
    </row>
    <row r="10" spans="2:11" x14ac:dyDescent="0.2">
      <c r="B10" s="8"/>
      <c r="C10" s="21"/>
      <c r="E10" s="6" t="s">
        <v>10</v>
      </c>
      <c r="F10" s="71">
        <f>(C28+C26)/F3</f>
        <v>1542.8571428571429</v>
      </c>
      <c r="H10" s="51" t="s">
        <v>63</v>
      </c>
      <c r="I10" s="74"/>
      <c r="J10" s="52"/>
      <c r="K10" s="77">
        <f>C26</f>
        <v>2800</v>
      </c>
    </row>
    <row r="11" spans="2:11" ht="16" thickBot="1" x14ac:dyDescent="0.25">
      <c r="B11" s="8" t="s">
        <v>6</v>
      </c>
      <c r="C11" s="68">
        <v>300</v>
      </c>
      <c r="E11" s="7" t="s">
        <v>11</v>
      </c>
      <c r="F11" s="18">
        <f>(C28+C26)/F4</f>
        <v>24685.714285714286</v>
      </c>
      <c r="H11" s="51" t="s">
        <v>64</v>
      </c>
      <c r="I11" s="75"/>
      <c r="J11" s="53"/>
      <c r="K11" s="77">
        <f>K9-K10</f>
        <v>6300</v>
      </c>
    </row>
    <row r="12" spans="2:11" x14ac:dyDescent="0.2">
      <c r="B12" s="8"/>
      <c r="C12" s="21"/>
      <c r="H12" s="56"/>
      <c r="I12" s="54"/>
      <c r="J12" s="54"/>
      <c r="K12" s="55"/>
    </row>
    <row r="13" spans="2:11" ht="16" thickBot="1" x14ac:dyDescent="0.25">
      <c r="B13" s="25" t="s">
        <v>3</v>
      </c>
      <c r="C13" s="32" t="s">
        <v>56</v>
      </c>
      <c r="H13" s="3" t="s">
        <v>71</v>
      </c>
      <c r="I13" s="87">
        <f>K9/K7</f>
        <v>0.31058020477815701</v>
      </c>
      <c r="J13" s="88"/>
      <c r="K13" s="89"/>
    </row>
    <row r="14" spans="2:11" ht="16" thickBot="1" x14ac:dyDescent="0.25">
      <c r="B14" s="8" t="s">
        <v>1</v>
      </c>
      <c r="C14" s="65">
        <v>35</v>
      </c>
      <c r="E14" s="26" t="s">
        <v>5</v>
      </c>
      <c r="F14" s="30" t="s">
        <v>56</v>
      </c>
      <c r="H14" s="57"/>
      <c r="I14" s="58"/>
      <c r="J14" s="58"/>
      <c r="K14" s="59"/>
    </row>
    <row r="15" spans="2:11" ht="16" thickBot="1" x14ac:dyDescent="0.25">
      <c r="B15" s="90" t="s">
        <v>15</v>
      </c>
      <c r="C15" s="91"/>
      <c r="D15" s="2"/>
      <c r="E15" s="5" t="s">
        <v>14</v>
      </c>
      <c r="F15" s="16">
        <f>C14-C19</f>
        <v>10</v>
      </c>
    </row>
    <row r="16" spans="2:11" x14ac:dyDescent="0.2">
      <c r="B16" s="15" t="s">
        <v>68</v>
      </c>
      <c r="C16" s="65">
        <v>12</v>
      </c>
      <c r="D16" s="2"/>
      <c r="E16" s="5" t="s">
        <v>9</v>
      </c>
      <c r="F16" s="72">
        <f>F15/C14</f>
        <v>0.2857142857142857</v>
      </c>
      <c r="H16" s="92" t="s">
        <v>76</v>
      </c>
      <c r="I16" s="93"/>
    </row>
    <row r="17" spans="2:11" ht="16" thickBot="1" x14ac:dyDescent="0.25">
      <c r="B17" s="15" t="s">
        <v>65</v>
      </c>
      <c r="C17" s="65">
        <v>9.5</v>
      </c>
      <c r="E17" s="104" t="s">
        <v>13</v>
      </c>
      <c r="F17" s="105"/>
      <c r="H17" s="64" t="s">
        <v>77</v>
      </c>
      <c r="I17" s="83">
        <f>K9/(C11+C21)</f>
        <v>9.1</v>
      </c>
    </row>
    <row r="18" spans="2:11" ht="16" thickBot="1" x14ac:dyDescent="0.25">
      <c r="B18" s="15" t="s">
        <v>70</v>
      </c>
      <c r="C18" s="65">
        <f>C14*0.1</f>
        <v>3.5</v>
      </c>
      <c r="E18" s="6" t="s">
        <v>10</v>
      </c>
      <c r="F18" s="70">
        <f>C26/F15</f>
        <v>280</v>
      </c>
    </row>
    <row r="19" spans="2:11" x14ac:dyDescent="0.2">
      <c r="B19" s="8" t="s">
        <v>16</v>
      </c>
      <c r="C19" s="65">
        <f>SUM(C16:C18)</f>
        <v>25</v>
      </c>
      <c r="E19" s="6" t="s">
        <v>69</v>
      </c>
      <c r="F19" s="16">
        <f>C26/F16</f>
        <v>9800</v>
      </c>
      <c r="H19" s="19" t="s">
        <v>26</v>
      </c>
      <c r="I19" s="61" t="s">
        <v>72</v>
      </c>
      <c r="J19" s="60" t="s">
        <v>73</v>
      </c>
      <c r="K19" s="62" t="s">
        <v>74</v>
      </c>
    </row>
    <row r="20" spans="2:11" x14ac:dyDescent="0.2">
      <c r="B20" s="8"/>
      <c r="C20" s="21"/>
      <c r="D20" s="2"/>
      <c r="E20" s="49"/>
      <c r="F20" s="50"/>
      <c r="H20" s="20" t="s">
        <v>4</v>
      </c>
      <c r="I20" s="79">
        <f>C11/(C11+C21)</f>
        <v>0.3</v>
      </c>
      <c r="J20" s="85">
        <f>(C26/I17)*I20</f>
        <v>92.307692307692307</v>
      </c>
      <c r="K20" s="84">
        <f>C26/I13*I20</f>
        <v>2704.6153846153843</v>
      </c>
    </row>
    <row r="21" spans="2:11" x14ac:dyDescent="0.2">
      <c r="B21" s="8" t="s">
        <v>6</v>
      </c>
      <c r="C21" s="68">
        <v>700</v>
      </c>
      <c r="D21" s="2"/>
      <c r="E21" s="106" t="s">
        <v>12</v>
      </c>
      <c r="F21" s="107"/>
      <c r="H21" s="20" t="s">
        <v>5</v>
      </c>
      <c r="I21" s="79">
        <f>C21/(C11+C21)</f>
        <v>0.7</v>
      </c>
      <c r="J21" s="85">
        <f>(C26/I17)*I21</f>
        <v>215.38461538461536</v>
      </c>
      <c r="K21" s="84">
        <f>C26/I13*I21</f>
        <v>6310.7692307692305</v>
      </c>
    </row>
    <row r="22" spans="2:11" ht="16" thickBot="1" x14ac:dyDescent="0.25">
      <c r="B22" s="8"/>
      <c r="C22" s="21"/>
      <c r="E22" s="6" t="s">
        <v>10</v>
      </c>
      <c r="F22" s="71">
        <f>(C28+C26)/F15</f>
        <v>1080</v>
      </c>
      <c r="H22" s="63" t="s">
        <v>8</v>
      </c>
      <c r="I22" s="80">
        <f>SUM(I20:I21)</f>
        <v>1</v>
      </c>
      <c r="J22" s="81">
        <f t="shared" ref="J22:K22" si="1">SUM(J20:J21)</f>
        <v>307.69230769230768</v>
      </c>
      <c r="K22" s="82">
        <f>SUM(K20:K21)</f>
        <v>9015.3846153846152</v>
      </c>
    </row>
    <row r="23" spans="2:11" ht="16" thickBot="1" x14ac:dyDescent="0.25">
      <c r="B23" s="90" t="s">
        <v>22</v>
      </c>
      <c r="C23" s="91"/>
      <c r="E23" s="7" t="s">
        <v>69</v>
      </c>
      <c r="F23" s="18">
        <f>(C28+C26)/F16</f>
        <v>37800</v>
      </c>
    </row>
    <row r="24" spans="2:11" x14ac:dyDescent="0.2">
      <c r="B24" s="15" t="s">
        <v>66</v>
      </c>
      <c r="C24" s="65">
        <v>2000</v>
      </c>
      <c r="E24" s="17"/>
      <c r="F24" s="2"/>
      <c r="H24" s="19" t="s">
        <v>28</v>
      </c>
      <c r="I24" s="61" t="s">
        <v>72</v>
      </c>
      <c r="J24" s="60" t="s">
        <v>73</v>
      </c>
      <c r="K24" s="62" t="s">
        <v>74</v>
      </c>
    </row>
    <row r="25" spans="2:11" x14ac:dyDescent="0.2">
      <c r="B25" s="15" t="s">
        <v>67</v>
      </c>
      <c r="C25" s="65">
        <v>800</v>
      </c>
      <c r="E25" s="17"/>
      <c r="F25" s="2"/>
      <c r="H25" s="20" t="s">
        <v>4</v>
      </c>
      <c r="I25" s="79">
        <f>C11/(C11+C21)</f>
        <v>0.3</v>
      </c>
      <c r="J25" s="86">
        <f>((C26+C28)/I17)*I25</f>
        <v>356.04395604395603</v>
      </c>
      <c r="K25" s="84">
        <f>((C26+C28)/I13)*I25</f>
        <v>10432.087912087911</v>
      </c>
    </row>
    <row r="26" spans="2:11" x14ac:dyDescent="0.2">
      <c r="B26" s="8" t="s">
        <v>23</v>
      </c>
      <c r="C26" s="66">
        <f>SUM(C24:C25)</f>
        <v>2800</v>
      </c>
      <c r="E26" s="17"/>
      <c r="F26" s="2"/>
      <c r="H26" s="20" t="s">
        <v>5</v>
      </c>
      <c r="I26" s="79">
        <f>C21/(C11+C21)</f>
        <v>0.7</v>
      </c>
      <c r="J26" s="86">
        <f>((C28+C26)/I17)*I26</f>
        <v>830.76923076923072</v>
      </c>
      <c r="K26" s="84">
        <f>((C28+C26)/I13)*I26</f>
        <v>24341.538461538457</v>
      </c>
    </row>
    <row r="27" spans="2:11" ht="16" thickBot="1" x14ac:dyDescent="0.25">
      <c r="B27" s="8"/>
      <c r="C27" s="21"/>
      <c r="E27" s="17"/>
      <c r="F27" s="2"/>
      <c r="H27" s="63" t="s">
        <v>8</v>
      </c>
      <c r="I27" s="80">
        <f>SUM(I25:I26)</f>
        <v>1</v>
      </c>
      <c r="J27" s="108">
        <f>SUM(J25:J26)</f>
        <v>1186.8131868131868</v>
      </c>
      <c r="K27" s="109">
        <f>SUM(K25:K26)</f>
        <v>34773.626373626365</v>
      </c>
    </row>
    <row r="28" spans="2:11" ht="16" thickBot="1" x14ac:dyDescent="0.25">
      <c r="B28" s="8" t="s">
        <v>17</v>
      </c>
      <c r="C28" s="65">
        <v>8000</v>
      </c>
      <c r="E28" s="17"/>
      <c r="F28" s="2"/>
    </row>
    <row r="29" spans="2:11" x14ac:dyDescent="0.2">
      <c r="B29" s="8"/>
      <c r="C29" s="21"/>
      <c r="H29" s="10" t="s">
        <v>18</v>
      </c>
      <c r="I29" s="110">
        <f>K7-K22</f>
        <v>20284.615384615383</v>
      </c>
    </row>
    <row r="30" spans="2:11" ht="16" thickBot="1" x14ac:dyDescent="0.25">
      <c r="B30" s="9" t="s">
        <v>21</v>
      </c>
      <c r="C30" s="67">
        <v>0.05</v>
      </c>
      <c r="H30" s="11"/>
      <c r="I30" s="12"/>
    </row>
    <row r="31" spans="2:11" x14ac:dyDescent="0.2">
      <c r="H31" s="11" t="s">
        <v>19</v>
      </c>
      <c r="I31" s="111">
        <f>I29/K7</f>
        <v>0.69230769230769229</v>
      </c>
    </row>
    <row r="32" spans="2:11" x14ac:dyDescent="0.2">
      <c r="H32" s="13"/>
      <c r="I32" s="12"/>
    </row>
    <row r="33" spans="8:9" x14ac:dyDescent="0.2">
      <c r="H33" s="11" t="s">
        <v>20</v>
      </c>
      <c r="I33" s="113">
        <f>K9/K11</f>
        <v>1.4444444444444444</v>
      </c>
    </row>
    <row r="34" spans="8:9" x14ac:dyDescent="0.2">
      <c r="H34" s="11"/>
      <c r="I34" s="12"/>
    </row>
    <row r="35" spans="8:9" ht="16" thickBot="1" x14ac:dyDescent="0.25">
      <c r="H35" s="14" t="s">
        <v>27</v>
      </c>
      <c r="I35" s="112">
        <f>I33*C30</f>
        <v>7.2222222222222229E-2</v>
      </c>
    </row>
  </sheetData>
  <mergeCells count="14">
    <mergeCell ref="B23:C23"/>
    <mergeCell ref="E9:F9"/>
    <mergeCell ref="I13:K13"/>
    <mergeCell ref="B15:C15"/>
    <mergeCell ref="H16:I16"/>
    <mergeCell ref="E17:F17"/>
    <mergeCell ref="E21:F21"/>
    <mergeCell ref="B2:C2"/>
    <mergeCell ref="H2:K2"/>
    <mergeCell ref="H3:K3"/>
    <mergeCell ref="H4:K4"/>
    <mergeCell ref="B5:C5"/>
    <mergeCell ref="E5:F5"/>
    <mergeCell ref="H5:I5"/>
  </mergeCells>
  <pageMargins left="0.25" right="0.25" top="0.75" bottom="0.75" header="0.3" footer="0.3"/>
  <pageSetup orientation="portrait" r:id="rId1"/>
  <headerFooter>
    <oddHeader xml:space="preserve">&amp;CCVP Model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0A55-EA8B-964C-9C45-61F936E142F3}">
  <dimension ref="B1:K35"/>
  <sheetViews>
    <sheetView zoomScaleNormal="100" workbookViewId="0"/>
  </sheetViews>
  <sheetFormatPr baseColWidth="10" defaultColWidth="8.83203125" defaultRowHeight="15" x14ac:dyDescent="0.2"/>
  <cols>
    <col min="1" max="1" width="3.33203125" customWidth="1"/>
    <col min="2" max="2" width="30.33203125" customWidth="1"/>
    <col min="3" max="3" width="13.83203125" customWidth="1"/>
    <col min="4" max="4" width="7" customWidth="1"/>
    <col min="5" max="5" width="22.6640625" customWidth="1"/>
    <col min="6" max="6" width="22" customWidth="1"/>
    <col min="7" max="7" width="6.6640625" customWidth="1"/>
    <col min="8" max="8" width="40" customWidth="1"/>
    <col min="9" max="9" width="13.33203125" customWidth="1"/>
    <col min="10" max="10" width="14.33203125" customWidth="1"/>
    <col min="11" max="11" width="16" customWidth="1"/>
    <col min="12" max="12" width="12.33203125" customWidth="1"/>
  </cols>
  <sheetData>
    <row r="1" spans="2:11" ht="16" thickBot="1" x14ac:dyDescent="0.25"/>
    <row r="2" spans="2:11" ht="16" thickBot="1" x14ac:dyDescent="0.25">
      <c r="B2" s="94" t="s">
        <v>0</v>
      </c>
      <c r="C2" s="95"/>
      <c r="D2" s="1"/>
      <c r="E2" s="26" t="s">
        <v>4</v>
      </c>
      <c r="F2" s="27" t="s">
        <v>55</v>
      </c>
      <c r="H2" s="96" t="s">
        <v>58</v>
      </c>
      <c r="I2" s="97"/>
      <c r="J2" s="97"/>
      <c r="K2" s="98"/>
    </row>
    <row r="3" spans="2:11" x14ac:dyDescent="0.2">
      <c r="B3" s="24" t="s">
        <v>2</v>
      </c>
      <c r="C3" s="31" t="s">
        <v>55</v>
      </c>
      <c r="E3" s="5" t="s">
        <v>14</v>
      </c>
      <c r="F3" s="48">
        <f>C4-C9</f>
        <v>7.7999999999999989</v>
      </c>
      <c r="H3" s="99" t="s">
        <v>25</v>
      </c>
      <c r="I3" s="100"/>
      <c r="J3" s="100"/>
      <c r="K3" s="101"/>
    </row>
    <row r="4" spans="2:11" x14ac:dyDescent="0.2">
      <c r="B4" s="8" t="s">
        <v>1</v>
      </c>
      <c r="C4" s="65">
        <v>16</v>
      </c>
      <c r="D4" s="2"/>
      <c r="E4" s="5" t="s">
        <v>9</v>
      </c>
      <c r="F4" s="69">
        <f>F3/C4</f>
        <v>0.48749999999999993</v>
      </c>
      <c r="H4" s="99" t="s">
        <v>7</v>
      </c>
      <c r="I4" s="100"/>
      <c r="J4" s="100"/>
      <c r="K4" s="101"/>
    </row>
    <row r="5" spans="2:11" x14ac:dyDescent="0.2">
      <c r="B5" s="90" t="s">
        <v>15</v>
      </c>
      <c r="C5" s="91"/>
      <c r="D5" s="2"/>
      <c r="E5" s="104" t="s">
        <v>13</v>
      </c>
      <c r="F5" s="105"/>
      <c r="H5" s="102"/>
      <c r="I5" s="103"/>
      <c r="J5" s="22"/>
      <c r="K5" s="23"/>
    </row>
    <row r="6" spans="2:11" x14ac:dyDescent="0.2">
      <c r="B6" s="15" t="s">
        <v>68</v>
      </c>
      <c r="C6" s="65">
        <v>4</v>
      </c>
      <c r="E6" s="6" t="s">
        <v>10</v>
      </c>
      <c r="F6" s="70">
        <f>C26/F3</f>
        <v>641.02564102564111</v>
      </c>
      <c r="H6" s="4"/>
      <c r="I6" s="28" t="s">
        <v>4</v>
      </c>
      <c r="J6" s="28" t="s">
        <v>5</v>
      </c>
      <c r="K6" s="29" t="s">
        <v>8</v>
      </c>
    </row>
    <row r="7" spans="2:11" x14ac:dyDescent="0.2">
      <c r="B7" s="15" t="s">
        <v>65</v>
      </c>
      <c r="C7" s="65">
        <v>3.4</v>
      </c>
      <c r="E7" s="6" t="s">
        <v>69</v>
      </c>
      <c r="F7" s="16">
        <f>C26/F4</f>
        <v>10256.410256410258</v>
      </c>
      <c r="H7" s="3" t="s">
        <v>60</v>
      </c>
      <c r="I7" s="73">
        <f>C4*C11</f>
        <v>9600</v>
      </c>
      <c r="J7" s="73">
        <f>C14*C21</f>
        <v>14000</v>
      </c>
      <c r="K7" s="76">
        <f>SUM(I7:J7)</f>
        <v>23600</v>
      </c>
    </row>
    <row r="8" spans="2:11" x14ac:dyDescent="0.2">
      <c r="B8" s="15" t="s">
        <v>78</v>
      </c>
      <c r="C8" s="65">
        <f>C4*0.05</f>
        <v>0.8</v>
      </c>
      <c r="E8" s="49"/>
      <c r="F8" s="50"/>
      <c r="H8" s="3" t="s">
        <v>61</v>
      </c>
      <c r="I8" s="73">
        <f>C9*C11</f>
        <v>4920.0000000000009</v>
      </c>
      <c r="J8" s="73">
        <f>C19*C21</f>
        <v>9300</v>
      </c>
      <c r="K8" s="76">
        <f t="shared" ref="K8" si="0">SUM(I8:J8)</f>
        <v>14220</v>
      </c>
    </row>
    <row r="9" spans="2:11" x14ac:dyDescent="0.2">
      <c r="B9" s="8" t="s">
        <v>16</v>
      </c>
      <c r="C9" s="65">
        <f>SUM(C6:C8)</f>
        <v>8.2000000000000011</v>
      </c>
      <c r="E9" s="106" t="s">
        <v>12</v>
      </c>
      <c r="F9" s="107"/>
      <c r="H9" s="3" t="s">
        <v>62</v>
      </c>
      <c r="I9" s="78">
        <f>I7-I8</f>
        <v>4679.9999999999991</v>
      </c>
      <c r="J9" s="78">
        <f>J7-J8</f>
        <v>4700</v>
      </c>
      <c r="K9" s="76">
        <f>K7-K8</f>
        <v>9380</v>
      </c>
    </row>
    <row r="10" spans="2:11" x14ac:dyDescent="0.2">
      <c r="B10" s="8"/>
      <c r="C10" s="21"/>
      <c r="E10" s="6" t="s">
        <v>10</v>
      </c>
      <c r="F10" s="71">
        <f>(C28+C26)/F3</f>
        <v>1666.666666666667</v>
      </c>
      <c r="H10" s="51" t="s">
        <v>63</v>
      </c>
      <c r="I10" s="74"/>
      <c r="J10" s="52"/>
      <c r="K10" s="77">
        <f>C26</f>
        <v>5000</v>
      </c>
    </row>
    <row r="11" spans="2:11" ht="16" thickBot="1" x14ac:dyDescent="0.25">
      <c r="B11" s="8" t="s">
        <v>6</v>
      </c>
      <c r="C11" s="68">
        <v>600</v>
      </c>
      <c r="E11" s="7" t="s">
        <v>11</v>
      </c>
      <c r="F11" s="18">
        <f>(C28+C26)/F4</f>
        <v>26666.666666666672</v>
      </c>
      <c r="H11" s="51" t="s">
        <v>64</v>
      </c>
      <c r="I11" s="75"/>
      <c r="J11" s="53"/>
      <c r="K11" s="77">
        <f>K9-K10</f>
        <v>4380</v>
      </c>
    </row>
    <row r="12" spans="2:11" x14ac:dyDescent="0.2">
      <c r="B12" s="8"/>
      <c r="C12" s="21"/>
      <c r="H12" s="56"/>
      <c r="I12" s="54"/>
      <c r="J12" s="54"/>
      <c r="K12" s="55"/>
    </row>
    <row r="13" spans="2:11" ht="16" thickBot="1" x14ac:dyDescent="0.25">
      <c r="B13" s="25" t="s">
        <v>3</v>
      </c>
      <c r="C13" s="32" t="s">
        <v>56</v>
      </c>
      <c r="H13" s="3" t="s">
        <v>71</v>
      </c>
      <c r="I13" s="87">
        <f>K9/K7</f>
        <v>0.39745762711864407</v>
      </c>
      <c r="J13" s="88"/>
      <c r="K13" s="89"/>
    </row>
    <row r="14" spans="2:11" ht="16" thickBot="1" x14ac:dyDescent="0.25">
      <c r="B14" s="8" t="s">
        <v>1</v>
      </c>
      <c r="C14" s="65">
        <v>35</v>
      </c>
      <c r="E14" s="26" t="s">
        <v>5</v>
      </c>
      <c r="F14" s="30" t="s">
        <v>56</v>
      </c>
      <c r="H14" s="57"/>
      <c r="I14" s="58"/>
      <c r="J14" s="58"/>
      <c r="K14" s="59"/>
    </row>
    <row r="15" spans="2:11" ht="16" thickBot="1" x14ac:dyDescent="0.25">
      <c r="B15" s="90" t="s">
        <v>15</v>
      </c>
      <c r="C15" s="91"/>
      <c r="D15" s="2"/>
      <c r="E15" s="5" t="s">
        <v>14</v>
      </c>
      <c r="F15" s="16">
        <f>C14-C19</f>
        <v>11.75</v>
      </c>
    </row>
    <row r="16" spans="2:11" x14ac:dyDescent="0.2">
      <c r="B16" s="15" t="s">
        <v>68</v>
      </c>
      <c r="C16" s="65">
        <v>12</v>
      </c>
      <c r="D16" s="2"/>
      <c r="E16" s="5" t="s">
        <v>9</v>
      </c>
      <c r="F16" s="72">
        <f>F15/C14</f>
        <v>0.33571428571428569</v>
      </c>
      <c r="H16" s="92" t="s">
        <v>76</v>
      </c>
      <c r="I16" s="93"/>
    </row>
    <row r="17" spans="2:11" ht="16" thickBot="1" x14ac:dyDescent="0.25">
      <c r="B17" s="15" t="s">
        <v>65</v>
      </c>
      <c r="C17" s="65">
        <v>9.5</v>
      </c>
      <c r="E17" s="104" t="s">
        <v>13</v>
      </c>
      <c r="F17" s="105"/>
      <c r="H17" s="64" t="s">
        <v>77</v>
      </c>
      <c r="I17" s="83">
        <f>K9/(C11+C21)</f>
        <v>9.3800000000000008</v>
      </c>
    </row>
    <row r="18" spans="2:11" ht="16" thickBot="1" x14ac:dyDescent="0.25">
      <c r="B18" s="15" t="s">
        <v>78</v>
      </c>
      <c r="C18" s="65">
        <f>C14*0.05</f>
        <v>1.75</v>
      </c>
      <c r="E18" s="6" t="s">
        <v>10</v>
      </c>
      <c r="F18" s="70">
        <f>C26/F15</f>
        <v>425.531914893617</v>
      </c>
    </row>
    <row r="19" spans="2:11" x14ac:dyDescent="0.2">
      <c r="B19" s="8" t="s">
        <v>16</v>
      </c>
      <c r="C19" s="65">
        <f>SUM(C16:C18)</f>
        <v>23.25</v>
      </c>
      <c r="E19" s="6" t="s">
        <v>69</v>
      </c>
      <c r="F19" s="16">
        <f>C26/F16</f>
        <v>14893.617021276597</v>
      </c>
      <c r="H19" s="19" t="s">
        <v>26</v>
      </c>
      <c r="I19" s="61" t="s">
        <v>72</v>
      </c>
      <c r="J19" s="60" t="s">
        <v>73</v>
      </c>
      <c r="K19" s="62" t="s">
        <v>74</v>
      </c>
    </row>
    <row r="20" spans="2:11" x14ac:dyDescent="0.2">
      <c r="B20" s="8"/>
      <c r="C20" s="21"/>
      <c r="D20" s="2"/>
      <c r="E20" s="49"/>
      <c r="F20" s="50"/>
      <c r="H20" s="20" t="s">
        <v>4</v>
      </c>
      <c r="I20" s="79">
        <f>C11/(C11+C21)</f>
        <v>0.6</v>
      </c>
      <c r="J20" s="85">
        <f>(C26/I17)*I20</f>
        <v>319.82942430703622</v>
      </c>
      <c r="K20" s="84">
        <f>C26/I13*I20</f>
        <v>7547.9744136460549</v>
      </c>
    </row>
    <row r="21" spans="2:11" x14ac:dyDescent="0.2">
      <c r="B21" s="8" t="s">
        <v>6</v>
      </c>
      <c r="C21" s="68">
        <v>400</v>
      </c>
      <c r="D21" s="2"/>
      <c r="E21" s="106" t="s">
        <v>12</v>
      </c>
      <c r="F21" s="107"/>
      <c r="H21" s="20" t="s">
        <v>5</v>
      </c>
      <c r="I21" s="79">
        <f>C21/(C11+C21)</f>
        <v>0.4</v>
      </c>
      <c r="J21" s="85">
        <f>(C26/I17)*I21</f>
        <v>213.21961620469085</v>
      </c>
      <c r="K21" s="84">
        <f>C26/I13*I21</f>
        <v>5031.9829424307036</v>
      </c>
    </row>
    <row r="22" spans="2:11" ht="16" thickBot="1" x14ac:dyDescent="0.25">
      <c r="B22" s="8"/>
      <c r="C22" s="21"/>
      <c r="E22" s="6" t="s">
        <v>10</v>
      </c>
      <c r="F22" s="71">
        <f>(C28+C26)/F15</f>
        <v>1106.3829787234042</v>
      </c>
      <c r="H22" s="63" t="s">
        <v>8</v>
      </c>
      <c r="I22" s="80">
        <f>SUM(I20:I21)</f>
        <v>1</v>
      </c>
      <c r="J22" s="81">
        <f t="shared" ref="J22:K22" si="1">SUM(J20:J21)</f>
        <v>533.04904051172707</v>
      </c>
      <c r="K22" s="82">
        <f>SUM(K20:K21)</f>
        <v>12579.957356076759</v>
      </c>
    </row>
    <row r="23" spans="2:11" ht="16" thickBot="1" x14ac:dyDescent="0.25">
      <c r="B23" s="90" t="s">
        <v>22</v>
      </c>
      <c r="C23" s="91"/>
      <c r="E23" s="7" t="s">
        <v>69</v>
      </c>
      <c r="F23" s="18">
        <f>(C28+C26)/F16</f>
        <v>38723.404255319154</v>
      </c>
    </row>
    <row r="24" spans="2:11" x14ac:dyDescent="0.2">
      <c r="B24" s="15" t="s">
        <v>66</v>
      </c>
      <c r="C24" s="65">
        <v>4200</v>
      </c>
      <c r="E24" s="17"/>
      <c r="F24" s="2"/>
      <c r="H24" s="19" t="s">
        <v>28</v>
      </c>
      <c r="I24" s="61" t="s">
        <v>72</v>
      </c>
      <c r="J24" s="60" t="s">
        <v>73</v>
      </c>
      <c r="K24" s="62" t="s">
        <v>74</v>
      </c>
    </row>
    <row r="25" spans="2:11" x14ac:dyDescent="0.2">
      <c r="B25" s="15" t="s">
        <v>67</v>
      </c>
      <c r="C25" s="65">
        <v>800</v>
      </c>
      <c r="E25" s="17"/>
      <c r="F25" s="2"/>
      <c r="H25" s="20" t="s">
        <v>4</v>
      </c>
      <c r="I25" s="79">
        <f>C11/(C11+C21)</f>
        <v>0.6</v>
      </c>
      <c r="J25" s="86">
        <f>((C26+C28)/I17)*I25</f>
        <v>831.55650319829408</v>
      </c>
      <c r="K25" s="84">
        <f>((C26+C28)/I13)*I25</f>
        <v>19624.733475479745</v>
      </c>
    </row>
    <row r="26" spans="2:11" x14ac:dyDescent="0.2">
      <c r="B26" s="8" t="s">
        <v>23</v>
      </c>
      <c r="C26" s="66">
        <f>SUM(C24:C25)</f>
        <v>5000</v>
      </c>
      <c r="E26" s="17"/>
      <c r="F26" s="2"/>
      <c r="H26" s="20" t="s">
        <v>5</v>
      </c>
      <c r="I26" s="79">
        <f>C21/(C11+C21)</f>
        <v>0.4</v>
      </c>
      <c r="J26" s="86">
        <f>((C28+C26)/I17)*I26</f>
        <v>554.37100213219617</v>
      </c>
      <c r="K26" s="84">
        <f>((C28+C26)/I13)*I26</f>
        <v>13083.15565031983</v>
      </c>
    </row>
    <row r="27" spans="2:11" ht="16" thickBot="1" x14ac:dyDescent="0.25">
      <c r="B27" s="8"/>
      <c r="C27" s="21"/>
      <c r="E27" s="17"/>
      <c r="F27" s="2"/>
      <c r="H27" s="63" t="s">
        <v>8</v>
      </c>
      <c r="I27" s="80">
        <f>SUM(I25:I26)</f>
        <v>1</v>
      </c>
      <c r="J27" s="108">
        <f>SUM(J25:J26)</f>
        <v>1385.9275053304902</v>
      </c>
      <c r="K27" s="109">
        <f>SUM(K25:K26)</f>
        <v>32707.889125799575</v>
      </c>
    </row>
    <row r="28" spans="2:11" ht="16" thickBot="1" x14ac:dyDescent="0.25">
      <c r="B28" s="8" t="s">
        <v>17</v>
      </c>
      <c r="C28" s="65">
        <v>8000</v>
      </c>
      <c r="E28" s="17"/>
      <c r="F28" s="2"/>
    </row>
    <row r="29" spans="2:11" x14ac:dyDescent="0.2">
      <c r="B29" s="8"/>
      <c r="C29" s="21"/>
      <c r="H29" s="10" t="s">
        <v>18</v>
      </c>
      <c r="I29" s="110">
        <f>K7-K22</f>
        <v>11020.042643923241</v>
      </c>
    </row>
    <row r="30" spans="2:11" ht="16" thickBot="1" x14ac:dyDescent="0.25">
      <c r="B30" s="9" t="s">
        <v>21</v>
      </c>
      <c r="C30" s="67">
        <v>0.05</v>
      </c>
      <c r="H30" s="11"/>
      <c r="I30" s="12"/>
    </row>
    <row r="31" spans="2:11" x14ac:dyDescent="0.2">
      <c r="H31" s="11" t="s">
        <v>19</v>
      </c>
      <c r="I31" s="111">
        <f>I29/K7</f>
        <v>0.46695095948827292</v>
      </c>
    </row>
    <row r="32" spans="2:11" x14ac:dyDescent="0.2">
      <c r="H32" s="13"/>
      <c r="I32" s="12"/>
    </row>
    <row r="33" spans="8:9" x14ac:dyDescent="0.2">
      <c r="H33" s="11" t="s">
        <v>20</v>
      </c>
      <c r="I33" s="113">
        <f>K9/K11</f>
        <v>2.1415525114155249</v>
      </c>
    </row>
    <row r="34" spans="8:9" x14ac:dyDescent="0.2">
      <c r="H34" s="11"/>
      <c r="I34" s="12"/>
    </row>
    <row r="35" spans="8:9" ht="16" thickBot="1" x14ac:dyDescent="0.25">
      <c r="H35" s="14" t="s">
        <v>27</v>
      </c>
      <c r="I35" s="112">
        <f>I33*C30</f>
        <v>0.10707762557077626</v>
      </c>
    </row>
  </sheetData>
  <mergeCells count="14">
    <mergeCell ref="B23:C23"/>
    <mergeCell ref="E9:F9"/>
    <mergeCell ref="I13:K13"/>
    <mergeCell ref="B15:C15"/>
    <mergeCell ref="H16:I16"/>
    <mergeCell ref="E17:F17"/>
    <mergeCell ref="E21:F21"/>
    <mergeCell ref="B2:C2"/>
    <mergeCell ref="H2:K2"/>
    <mergeCell ref="H3:K3"/>
    <mergeCell ref="H4:K4"/>
    <mergeCell ref="B5:C5"/>
    <mergeCell ref="E5:F5"/>
    <mergeCell ref="H5:I5"/>
  </mergeCells>
  <pageMargins left="0.25" right="0.25" top="0.75" bottom="0.75" header="0.3" footer="0.3"/>
  <pageSetup orientation="portrait" r:id="rId1"/>
  <headerFooter>
    <oddHeader xml:space="preserve">&amp;CCVP Model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workbookViewId="0"/>
  </sheetViews>
  <sheetFormatPr baseColWidth="10" defaultColWidth="8.83203125" defaultRowHeight="15" x14ac:dyDescent="0.2"/>
  <cols>
    <col min="1" max="1" width="30.6640625" customWidth="1"/>
    <col min="3" max="3" width="18.1640625" customWidth="1"/>
    <col min="4" max="4" width="19.6640625" customWidth="1"/>
  </cols>
  <sheetData>
    <row r="1" spans="1:4" x14ac:dyDescent="0.2">
      <c r="A1" s="41" t="s">
        <v>35</v>
      </c>
      <c r="C1" s="45" t="s">
        <v>51</v>
      </c>
      <c r="D1" s="45" t="s">
        <v>52</v>
      </c>
    </row>
    <row r="2" spans="1:4" x14ac:dyDescent="0.2">
      <c r="C2" s="44"/>
      <c r="D2" s="44"/>
    </row>
    <row r="3" spans="1:4" ht="16" x14ac:dyDescent="0.2">
      <c r="A3" s="43" t="s">
        <v>59</v>
      </c>
      <c r="C3" s="47">
        <v>5</v>
      </c>
      <c r="D3" s="44"/>
    </row>
    <row r="5" spans="1:4" x14ac:dyDescent="0.2">
      <c r="A5" s="42" t="s">
        <v>41</v>
      </c>
    </row>
    <row r="6" spans="1:4" x14ac:dyDescent="0.2">
      <c r="A6" t="s">
        <v>36</v>
      </c>
    </row>
    <row r="7" spans="1:4" x14ac:dyDescent="0.2">
      <c r="A7" s="40" t="s">
        <v>37</v>
      </c>
      <c r="C7">
        <v>5</v>
      </c>
    </row>
    <row r="8" spans="1:4" x14ac:dyDescent="0.2">
      <c r="A8" s="40" t="s">
        <v>38</v>
      </c>
      <c r="C8">
        <v>5</v>
      </c>
    </row>
    <row r="9" spans="1:4" x14ac:dyDescent="0.2">
      <c r="A9" s="40" t="s">
        <v>39</v>
      </c>
      <c r="C9">
        <v>5</v>
      </c>
    </row>
    <row r="10" spans="1:4" x14ac:dyDescent="0.2">
      <c r="A10" s="40" t="s">
        <v>40</v>
      </c>
      <c r="C10">
        <v>5</v>
      </c>
    </row>
    <row r="12" spans="1:4" ht="32" x14ac:dyDescent="0.2">
      <c r="A12" s="43" t="s">
        <v>57</v>
      </c>
      <c r="C12">
        <v>15</v>
      </c>
    </row>
    <row r="14" spans="1:4" ht="32" x14ac:dyDescent="0.2">
      <c r="A14" s="43" t="s">
        <v>54</v>
      </c>
      <c r="C14">
        <v>20</v>
      </c>
    </row>
    <row r="16" spans="1:4" x14ac:dyDescent="0.2">
      <c r="A16" s="42" t="s">
        <v>42</v>
      </c>
    </row>
    <row r="18" spans="1:3" x14ac:dyDescent="0.2">
      <c r="A18" t="s">
        <v>45</v>
      </c>
    </row>
    <row r="19" spans="1:3" x14ac:dyDescent="0.2">
      <c r="A19" s="40" t="s">
        <v>43</v>
      </c>
      <c r="C19">
        <v>5</v>
      </c>
    </row>
    <row r="20" spans="1:3" x14ac:dyDescent="0.2">
      <c r="A20" s="40" t="s">
        <v>44</v>
      </c>
      <c r="C20">
        <v>5</v>
      </c>
    </row>
    <row r="22" spans="1:3" x14ac:dyDescent="0.2">
      <c r="A22" t="s">
        <v>46</v>
      </c>
      <c r="C22">
        <v>5</v>
      </c>
    </row>
    <row r="23" spans="1:3" x14ac:dyDescent="0.2">
      <c r="A23" s="40" t="s">
        <v>43</v>
      </c>
      <c r="C23">
        <v>5</v>
      </c>
    </row>
    <row r="24" spans="1:3" x14ac:dyDescent="0.2">
      <c r="A24" s="40" t="s">
        <v>44</v>
      </c>
    </row>
    <row r="26" spans="1:3" x14ac:dyDescent="0.2">
      <c r="A26" t="s">
        <v>47</v>
      </c>
      <c r="C26">
        <v>5</v>
      </c>
    </row>
    <row r="27" spans="1:3" x14ac:dyDescent="0.2">
      <c r="A27" s="40" t="s">
        <v>43</v>
      </c>
      <c r="C27">
        <v>5</v>
      </c>
    </row>
    <row r="28" spans="1:3" x14ac:dyDescent="0.2">
      <c r="A28" s="40" t="s">
        <v>44</v>
      </c>
    </row>
    <row r="30" spans="1:3" ht="32" x14ac:dyDescent="0.2">
      <c r="A30" s="43" t="s">
        <v>48</v>
      </c>
      <c r="C30">
        <v>5</v>
      </c>
    </row>
    <row r="32" spans="1:3" x14ac:dyDescent="0.2">
      <c r="A32" s="42" t="s">
        <v>50</v>
      </c>
    </row>
    <row r="33" spans="1:4" x14ac:dyDescent="0.2">
      <c r="A33" t="s">
        <v>49</v>
      </c>
      <c r="C33">
        <v>5</v>
      </c>
    </row>
    <row r="34" spans="1:4" x14ac:dyDescent="0.2">
      <c r="A34" t="s">
        <v>53</v>
      </c>
    </row>
    <row r="35" spans="1:4" ht="16" thickBot="1" x14ac:dyDescent="0.25">
      <c r="A35" s="41" t="s">
        <v>8</v>
      </c>
      <c r="C35" s="46">
        <f>SUM(C3:C33)</f>
        <v>100</v>
      </c>
      <c r="D35" s="46">
        <f>SUM(D3:D33)</f>
        <v>0</v>
      </c>
    </row>
    <row r="36" spans="1:4" ht="16"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Original Assumptions</vt:lpstr>
      <vt:lpstr>Advising client</vt:lpstr>
      <vt:lpstr>Supplier Cost Increase</vt:lpstr>
      <vt:lpstr>New Sales Mix</vt:lpstr>
      <vt:lpstr>Alternative Contract</vt:lpstr>
      <vt:lpstr>Grading Rubric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Senyigit, Y. Bora</dc:creator>
  <cp:lastModifiedBy>Casey, Mackenzie</cp:lastModifiedBy>
  <cp:lastPrinted>2017-03-31T15:44:52Z</cp:lastPrinted>
  <dcterms:created xsi:type="dcterms:W3CDTF">2016-03-12T17:41:20Z</dcterms:created>
  <dcterms:modified xsi:type="dcterms:W3CDTF">2023-03-20T23:57:46Z</dcterms:modified>
</cp:coreProperties>
</file>